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SV\Shared\Common\Water Resource Protection\Watershed Eng &amp; Planning\Tools\Spreadsheets\HLWO\"/>
    </mc:Choice>
  </mc:AlternateContent>
  <xr:revisionPtr revIDLastSave="0" documentId="13_ncr:1_{36FE1136-96C2-49BB-A56F-CE016787C556}" xr6:coauthVersionLast="47" xr6:coauthVersionMax="47" xr10:uidLastSave="{00000000-0000-0000-0000-000000000000}"/>
  <bookViews>
    <workbookView xWindow="-120" yWindow="-120" windowWidth="29040" windowHeight="15840" tabRatio="730" activeTab="1" xr2:uid="{00000000-000D-0000-FFFF-FFFF00000000}"/>
  </bookViews>
  <sheets>
    <sheet name="IC &amp; Runoff" sheetId="4" r:id="rId1"/>
    <sheet name="WQ Design" sheetId="3" r:id="rId2"/>
    <sheet name="Comm Alt Stnds" sheetId="1" r:id="rId3"/>
    <sheet name="&quot;C&quot; Value, &quot;n&quot; and Permeability" sheetId="7" r:id="rId4"/>
    <sheet name="USGS Eqn (Hydrology)" sheetId="2" r:id="rId5"/>
  </sheets>
  <externalReferences>
    <externalReference r:id="rId6"/>
  </externalReferences>
  <definedNames>
    <definedName name="_xlnm._FilterDatabase" localSheetId="3" hidden="1">'"C" Value, "n" and Permeability'!$A$6:$A$22</definedName>
    <definedName name="PrimaryBMP">[1]MasterTables!$C$3:$C$9</definedName>
    <definedName name="_xlnm.Print_Area" localSheetId="1">'WQ Design'!$A$1:$I$168</definedName>
    <definedName name="SecondaryBMP">[1]MasterTables!$C$14:$C$21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  <c r="H19" i="3"/>
  <c r="H18" i="3"/>
  <c r="H17" i="3"/>
  <c r="H16" i="3"/>
  <c r="H13" i="3"/>
  <c r="F19" i="3"/>
  <c r="E19" i="3"/>
  <c r="D19" i="3"/>
  <c r="F18" i="3"/>
  <c r="E18" i="3"/>
  <c r="D18" i="3"/>
  <c r="F17" i="3"/>
  <c r="F21" i="3" s="1"/>
  <c r="E17" i="3"/>
  <c r="E21" i="3" s="1"/>
  <c r="D17" i="3"/>
  <c r="D21" i="3" s="1"/>
  <c r="F16" i="3"/>
  <c r="E16" i="3"/>
  <c r="D16" i="3"/>
  <c r="F13" i="3"/>
  <c r="E13" i="3"/>
  <c r="D13" i="3"/>
  <c r="F61" i="3"/>
  <c r="E61" i="3"/>
  <c r="H43" i="4"/>
  <c r="H41" i="4"/>
  <c r="H39" i="4"/>
  <c r="H37" i="4"/>
  <c r="H35" i="4"/>
  <c r="H33" i="4"/>
  <c r="G18" i="3"/>
  <c r="G19" i="3"/>
  <c r="H55" i="3"/>
  <c r="G44" i="4"/>
  <c r="H44" i="4" s="1"/>
  <c r="E44" i="4"/>
  <c r="D44" i="4"/>
  <c r="D34" i="4"/>
  <c r="D46" i="4"/>
  <c r="D36" i="4"/>
  <c r="D38" i="4"/>
  <c r="D40" i="4"/>
  <c r="D42" i="4"/>
  <c r="H42" i="4"/>
  <c r="E34" i="4"/>
  <c r="E36" i="4"/>
  <c r="H36" i="4"/>
  <c r="E38" i="4"/>
  <c r="E40" i="4"/>
  <c r="E42" i="4"/>
  <c r="E46" i="4"/>
  <c r="D43" i="3"/>
  <c r="D44" i="3"/>
  <c r="D46" i="3"/>
  <c r="G37" i="3"/>
  <c r="G40" i="3"/>
  <c r="G43" i="3"/>
  <c r="G44" i="3"/>
  <c r="G46" i="3"/>
  <c r="G50" i="3"/>
  <c r="G52" i="3"/>
  <c r="G54" i="3"/>
  <c r="F37" i="3"/>
  <c r="F40" i="3"/>
  <c r="F43" i="3"/>
  <c r="F44" i="3"/>
  <c r="F46" i="3"/>
  <c r="F50" i="3"/>
  <c r="F52" i="3"/>
  <c r="F54" i="3"/>
  <c r="E37" i="3"/>
  <c r="E40" i="3"/>
  <c r="E43" i="3"/>
  <c r="E44" i="3"/>
  <c r="E46" i="3"/>
  <c r="E55" i="3"/>
  <c r="E50" i="3"/>
  <c r="E52" i="3"/>
  <c r="E54" i="3"/>
  <c r="B21" i="1"/>
  <c r="B22" i="1"/>
  <c r="G26" i="4"/>
  <c r="H26" i="4" s="1"/>
  <c r="G29" i="4"/>
  <c r="H29" i="4" s="1"/>
  <c r="G27" i="4"/>
  <c r="G28" i="4"/>
  <c r="G34" i="4"/>
  <c r="G36" i="4"/>
  <c r="G38" i="4"/>
  <c r="H38" i="4" s="1"/>
  <c r="G40" i="4"/>
  <c r="H40" i="4" s="1"/>
  <c r="G42" i="4"/>
  <c r="G13" i="3"/>
  <c r="G61" i="3" s="1"/>
  <c r="F26" i="4"/>
  <c r="F29" i="4"/>
  <c r="F27" i="4"/>
  <c r="F28" i="4"/>
  <c r="F34" i="4"/>
  <c r="F46" i="4"/>
  <c r="F36" i="4"/>
  <c r="F38" i="4"/>
  <c r="F40" i="4"/>
  <c r="F42" i="4"/>
  <c r="F44" i="4"/>
  <c r="E26" i="4"/>
  <c r="E29" i="4"/>
  <c r="E27" i="4"/>
  <c r="E28" i="4"/>
  <c r="D37" i="3"/>
  <c r="D40" i="3"/>
  <c r="D50" i="3"/>
  <c r="D52" i="3"/>
  <c r="D54" i="3"/>
  <c r="D26" i="4"/>
  <c r="D29" i="4"/>
  <c r="D53" i="4"/>
  <c r="D61" i="4"/>
  <c r="D85" i="4"/>
  <c r="D27" i="4"/>
  <c r="H27" i="4"/>
  <c r="D28" i="4"/>
  <c r="H28" i="4"/>
  <c r="F60" i="4"/>
  <c r="D60" i="4"/>
  <c r="G65" i="4"/>
  <c r="G73" i="4"/>
  <c r="G69" i="4"/>
  <c r="G72" i="4"/>
  <c r="F65" i="4"/>
  <c r="F73" i="4"/>
  <c r="F69" i="4"/>
  <c r="F72" i="4"/>
  <c r="E65" i="4"/>
  <c r="E73" i="4"/>
  <c r="E69" i="4"/>
  <c r="E72" i="4"/>
  <c r="D65" i="4"/>
  <c r="D73" i="4"/>
  <c r="D76" i="4"/>
  <c r="D89" i="4"/>
  <c r="H89" i="4"/>
  <c r="D69" i="4"/>
  <c r="D72" i="4"/>
  <c r="H50" i="4"/>
  <c r="H48" i="4"/>
  <c r="G60" i="4"/>
  <c r="H60" i="4" s="1"/>
  <c r="E60" i="4"/>
  <c r="G52" i="4"/>
  <c r="F52" i="4"/>
  <c r="E52" i="4"/>
  <c r="D52" i="4"/>
  <c r="G12" i="3"/>
  <c r="F12" i="3"/>
  <c r="E12" i="3"/>
  <c r="D12" i="3"/>
  <c r="G59" i="4"/>
  <c r="F59" i="4"/>
  <c r="E59" i="4"/>
  <c r="D59" i="4"/>
  <c r="H34" i="4"/>
  <c r="H12" i="4"/>
  <c r="A17" i="3"/>
  <c r="A16" i="3"/>
  <c r="J43" i="2"/>
  <c r="P43" i="2"/>
  <c r="I43" i="2"/>
  <c r="O43" i="2"/>
  <c r="H43" i="2"/>
  <c r="N43" i="2"/>
  <c r="G43" i="2"/>
  <c r="M43" i="2"/>
  <c r="F43" i="2"/>
  <c r="L43" i="2"/>
  <c r="G13" i="2"/>
  <c r="N13" i="2"/>
  <c r="G20" i="2"/>
  <c r="N20" i="2"/>
  <c r="U20" i="2"/>
  <c r="L13" i="2"/>
  <c r="B32" i="2"/>
  <c r="L20" i="2"/>
  <c r="K13" i="2"/>
  <c r="B31" i="2"/>
  <c r="K20" i="2"/>
  <c r="R20" i="2"/>
  <c r="J13" i="2"/>
  <c r="Q13" i="2"/>
  <c r="J20" i="2"/>
  <c r="B30" i="2"/>
  <c r="F13" i="2"/>
  <c r="I13" i="2"/>
  <c r="B29" i="2"/>
  <c r="I20" i="2"/>
  <c r="P20" i="2"/>
  <c r="M20" i="2"/>
  <c r="T20" i="2"/>
  <c r="S20" i="2"/>
  <c r="Q20" i="2"/>
  <c r="F20" i="2"/>
  <c r="M13" i="2"/>
  <c r="T13" i="2"/>
  <c r="R13" i="2"/>
  <c r="F53" i="4"/>
  <c r="F61" i="4"/>
  <c r="D87" i="4"/>
  <c r="D86" i="4"/>
  <c r="F85" i="4"/>
  <c r="F86" i="4"/>
  <c r="F87" i="4"/>
  <c r="G75" i="4"/>
  <c r="G77" i="4"/>
  <c r="G76" i="4"/>
  <c r="F77" i="4"/>
  <c r="F90" i="4"/>
  <c r="F76" i="4"/>
  <c r="F89" i="4"/>
  <c r="F75" i="4"/>
  <c r="F88" i="4"/>
  <c r="E53" i="4"/>
  <c r="P13" i="2"/>
  <c r="B33" i="2"/>
  <c r="U13" i="2"/>
  <c r="E75" i="4"/>
  <c r="E76" i="4"/>
  <c r="E77" i="4"/>
  <c r="B56" i="1"/>
  <c r="B38" i="1"/>
  <c r="B40" i="1"/>
  <c r="D75" i="4"/>
  <c r="D88" i="4"/>
  <c r="D77" i="4"/>
  <c r="D90" i="4"/>
  <c r="H90" i="4"/>
  <c r="S13" i="2"/>
  <c r="E61" i="4"/>
  <c r="F166" i="3"/>
  <c r="D166" i="3"/>
  <c r="H88" i="4"/>
  <c r="B47" i="1"/>
  <c r="B46" i="1"/>
  <c r="B45" i="1"/>
  <c r="E87" i="4"/>
  <c r="E90" i="4"/>
  <c r="E86" i="4"/>
  <c r="E89" i="4"/>
  <c r="E85" i="4"/>
  <c r="E88" i="4"/>
  <c r="E166" i="3"/>
  <c r="D55" i="3"/>
  <c r="G55" i="3"/>
  <c r="F55" i="3"/>
  <c r="F157" i="3"/>
  <c r="F57" i="3" l="1"/>
  <c r="F58" i="3" s="1"/>
  <c r="F79" i="3" s="1"/>
  <c r="F81" i="3" s="1"/>
  <c r="F22" i="3"/>
  <c r="E157" i="3"/>
  <c r="E57" i="3"/>
  <c r="E58" i="3" s="1"/>
  <c r="E79" i="3" s="1"/>
  <c r="E22" i="3"/>
  <c r="D61" i="3"/>
  <c r="D157" i="3"/>
  <c r="D22" i="3"/>
  <c r="D57" i="3"/>
  <c r="D58" i="3" s="1"/>
  <c r="D79" i="3" s="1"/>
  <c r="E81" i="3"/>
  <c r="G157" i="3"/>
  <c r="G46" i="4"/>
  <c r="G16" i="3"/>
  <c r="F129" i="3" l="1"/>
  <c r="F147" i="3"/>
  <c r="F149" i="3"/>
  <c r="F128" i="3"/>
  <c r="F89" i="3"/>
  <c r="F141" i="3"/>
  <c r="F146" i="3"/>
  <c r="F100" i="3"/>
  <c r="F91" i="3"/>
  <c r="F134" i="3"/>
  <c r="F113" i="3"/>
  <c r="F143" i="3"/>
  <c r="F97" i="3"/>
  <c r="F114" i="3"/>
  <c r="F145" i="3"/>
  <c r="F133" i="3"/>
  <c r="F112" i="3"/>
  <c r="F116" i="3"/>
  <c r="F137" i="3"/>
  <c r="F101" i="3"/>
  <c r="F135" i="3"/>
  <c r="F90" i="3"/>
  <c r="F131" i="3"/>
  <c r="F98" i="3"/>
  <c r="F144" i="3"/>
  <c r="F148" i="3"/>
  <c r="F124" i="3"/>
  <c r="F107" i="3"/>
  <c r="F111" i="3"/>
  <c r="F153" i="3"/>
  <c r="F136" i="3"/>
  <c r="F125" i="3"/>
  <c r="F132" i="3"/>
  <c r="F110" i="3"/>
  <c r="F108" i="3"/>
  <c r="F117" i="3"/>
  <c r="F126" i="3"/>
  <c r="F150" i="3"/>
  <c r="F123" i="3"/>
  <c r="F122" i="3"/>
  <c r="F152" i="3"/>
  <c r="F99" i="3"/>
  <c r="F140" i="3"/>
  <c r="F109" i="3"/>
  <c r="F138" i="3"/>
  <c r="F119" i="3"/>
  <c r="F120" i="3"/>
  <c r="F121" i="3"/>
  <c r="E107" i="3"/>
  <c r="E117" i="3"/>
  <c r="E144" i="3"/>
  <c r="E112" i="3"/>
  <c r="E150" i="3"/>
  <c r="E136" i="3"/>
  <c r="E108" i="3"/>
  <c r="E123" i="3"/>
  <c r="E137" i="3"/>
  <c r="E98" i="3"/>
  <c r="E124" i="3"/>
  <c r="E135" i="3"/>
  <c r="E111" i="3"/>
  <c r="E99" i="3"/>
  <c r="E132" i="3"/>
  <c r="E90" i="3"/>
  <c r="E116" i="3"/>
  <c r="E133" i="3"/>
  <c r="E121" i="3"/>
  <c r="E129" i="3"/>
  <c r="E119" i="3"/>
  <c r="E122" i="3"/>
  <c r="E149" i="3"/>
  <c r="E100" i="3"/>
  <c r="E134" i="3"/>
  <c r="E140" i="3"/>
  <c r="E143" i="3"/>
  <c r="E113" i="3"/>
  <c r="E126" i="3"/>
  <c r="E110" i="3"/>
  <c r="E97" i="3"/>
  <c r="E109" i="3"/>
  <c r="E141" i="3"/>
  <c r="E148" i="3"/>
  <c r="E114" i="3"/>
  <c r="E131" i="3"/>
  <c r="E146" i="3"/>
  <c r="E91" i="3"/>
  <c r="E128" i="3"/>
  <c r="E147" i="3"/>
  <c r="E89" i="3"/>
  <c r="E101" i="3"/>
  <c r="E125" i="3"/>
  <c r="E153" i="3"/>
  <c r="E138" i="3"/>
  <c r="E145" i="3"/>
  <c r="E152" i="3"/>
  <c r="E120" i="3"/>
  <c r="D81" i="3"/>
  <c r="G53" i="4"/>
  <c r="H53" i="4" s="1"/>
  <c r="H46" i="4"/>
  <c r="G17" i="3"/>
  <c r="D141" i="3" l="1"/>
  <c r="D150" i="3"/>
  <c r="D136" i="3"/>
  <c r="D149" i="3"/>
  <c r="D137" i="3"/>
  <c r="D133" i="3"/>
  <c r="D129" i="3"/>
  <c r="D124" i="3"/>
  <c r="D143" i="3"/>
  <c r="D144" i="3"/>
  <c r="D113" i="3"/>
  <c r="D153" i="3"/>
  <c r="D131" i="3"/>
  <c r="D140" i="3"/>
  <c r="D90" i="3"/>
  <c r="D107" i="3"/>
  <c r="D109" i="3"/>
  <c r="D98" i="3"/>
  <c r="D114" i="3"/>
  <c r="D148" i="3"/>
  <c r="D117" i="3"/>
  <c r="D119" i="3"/>
  <c r="D108" i="3"/>
  <c r="D132" i="3"/>
  <c r="D89" i="3"/>
  <c r="D122" i="3"/>
  <c r="D134" i="3"/>
  <c r="D123" i="3"/>
  <c r="D111" i="3"/>
  <c r="D152" i="3"/>
  <c r="D97" i="3"/>
  <c r="D120" i="3"/>
  <c r="D138" i="3"/>
  <c r="D101" i="3"/>
  <c r="D110" i="3"/>
  <c r="D147" i="3"/>
  <c r="D125" i="3"/>
  <c r="D145" i="3"/>
  <c r="D126" i="3"/>
  <c r="D135" i="3"/>
  <c r="D121" i="3"/>
  <c r="D116" i="3"/>
  <c r="D100" i="3"/>
  <c r="D146" i="3"/>
  <c r="D91" i="3"/>
  <c r="D128" i="3"/>
  <c r="D99" i="3"/>
  <c r="D112" i="3"/>
  <c r="G21" i="3"/>
  <c r="G61" i="4"/>
  <c r="G86" i="4" s="1"/>
  <c r="G89" i="4" s="1"/>
  <c r="G22" i="3"/>
  <c r="G57" i="3"/>
  <c r="G58" i="3" s="1"/>
  <c r="G79" i="3" s="1"/>
  <c r="G81" i="3" s="1"/>
  <c r="G87" i="4" l="1"/>
  <c r="G90" i="4" s="1"/>
  <c r="G85" i="4"/>
  <c r="G88" i="4" s="1"/>
  <c r="G166" i="3" s="1"/>
  <c r="H22" i="3"/>
  <c r="H57" i="3"/>
  <c r="H58" i="3" s="1"/>
  <c r="G98" i="3"/>
  <c r="G108" i="3"/>
  <c r="G100" i="3"/>
  <c r="G133" i="3"/>
  <c r="G109" i="3"/>
  <c r="G129" i="3"/>
  <c r="G121" i="3"/>
  <c r="G97" i="3"/>
  <c r="G113" i="3"/>
  <c r="G144" i="3"/>
  <c r="G122" i="3"/>
  <c r="G112" i="3"/>
  <c r="G153" i="3"/>
  <c r="G128" i="3"/>
  <c r="G119" i="3"/>
  <c r="G140" i="3"/>
  <c r="G138" i="3"/>
  <c r="G141" i="3"/>
  <c r="G124" i="3"/>
  <c r="G126" i="3"/>
  <c r="G132" i="3"/>
  <c r="G150" i="3"/>
  <c r="G90" i="3"/>
  <c r="G137" i="3"/>
  <c r="G123" i="3"/>
  <c r="G125" i="3"/>
  <c r="G136" i="3"/>
  <c r="G114" i="3"/>
  <c r="G107" i="3"/>
  <c r="G147" i="3"/>
  <c r="G146" i="3"/>
  <c r="G149" i="3"/>
  <c r="G134" i="3"/>
  <c r="G117" i="3"/>
  <c r="G89" i="3"/>
  <c r="G111" i="3"/>
  <c r="G99" i="3"/>
  <c r="G145" i="3"/>
  <c r="G131" i="3"/>
  <c r="G91" i="3"/>
  <c r="G110" i="3"/>
  <c r="G143" i="3"/>
  <c r="G148" i="3"/>
  <c r="G120" i="3"/>
  <c r="G116" i="3"/>
  <c r="G135" i="3"/>
  <c r="G152" i="3"/>
  <c r="G10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LCRA Employee</author>
  </authors>
  <commentList>
    <comment ref="B33" authorId="0" shapeId="0" xr:uid="{00000000-0006-0000-0000-000001000000}">
      <text>
        <r>
          <rPr>
            <sz val="8"/>
            <color indexed="81"/>
            <rFont val="Tahoma"/>
          </rPr>
          <t>10,000sf/ea</t>
        </r>
      </text>
    </comment>
    <comment ref="B35" authorId="0" shapeId="0" xr:uid="{00000000-0006-0000-0000-000002000000}">
      <text>
        <r>
          <rPr>
            <b/>
            <sz val="8"/>
            <color indexed="81"/>
            <rFont val="Tahoma"/>
          </rPr>
          <t>7000sf/ea</t>
        </r>
      </text>
    </comment>
    <comment ref="B37" authorId="0" shapeId="0" xr:uid="{00000000-0006-0000-0000-000003000000}">
      <text>
        <r>
          <rPr>
            <b/>
            <sz val="8"/>
            <color indexed="81"/>
            <rFont val="Tahoma"/>
          </rPr>
          <t>5000sf/ea</t>
        </r>
      </text>
    </comment>
    <comment ref="B39" authorId="0" shapeId="0" xr:uid="{00000000-0006-0000-0000-000004000000}">
      <text>
        <r>
          <rPr>
            <b/>
            <sz val="8"/>
            <color indexed="81"/>
            <rFont val="Tahoma"/>
          </rPr>
          <t>3500sf/ea</t>
        </r>
      </text>
    </comment>
    <comment ref="B41" authorId="0" shapeId="0" xr:uid="{00000000-0006-0000-0000-000005000000}">
      <text>
        <r>
          <rPr>
            <b/>
            <sz val="8"/>
            <color indexed="81"/>
            <rFont val="Tahoma"/>
          </rPr>
          <t>2500sf/ea</t>
        </r>
      </text>
    </comment>
    <comment ref="B43" authorId="0" shapeId="0" xr:uid="{00000000-0006-0000-0000-000006000000}">
      <text>
        <r>
          <rPr>
            <b/>
            <sz val="8"/>
            <color indexed="81"/>
            <rFont val="Tahoma"/>
          </rPr>
          <t>2000sf/ea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Harris</author>
    <author>LCRA Employee</author>
  </authors>
  <commentList>
    <comment ref="A41" authorId="0" shapeId="0" xr:uid="{00000000-0006-0000-0100-000001000000}">
      <text>
        <r>
          <rPr>
            <b/>
            <sz val="8"/>
            <color indexed="81"/>
            <rFont val="Tahoma"/>
          </rPr>
          <t>Note: The designer can not use rainwater harvesting and roof-top disconnection  at the same time.  However, the roof-top disconnection credit includes the option of adding dry wells, rain gardens, rainwater harvesting tanks, etc to include local runoff storage in the impervious cover reduction design process.  See Table 2-3 in Technical Manual.</t>
        </r>
      </text>
    </comment>
    <comment ref="B41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Also known as catchment area</t>
        </r>
        <r>
          <rPr>
            <sz val="8"/>
            <color indexed="81"/>
            <rFont val="Tahoma"/>
          </rPr>
          <t xml:space="preserve">
</t>
        </r>
      </text>
    </comment>
    <comment ref="B44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Impervious area reduction from Figure 2-1</t>
        </r>
        <r>
          <rPr>
            <sz val="8"/>
            <color indexed="81"/>
            <rFont val="Tahoma"/>
          </rPr>
          <t xml:space="preserve">
</t>
        </r>
      </text>
    </comment>
    <comment ref="A47" authorId="0" shapeId="0" xr:uid="{00000000-0006-0000-0100-000004000000}">
      <text>
        <r>
          <rPr>
            <b/>
            <sz val="8"/>
            <color indexed="81"/>
            <rFont val="Tahoma"/>
          </rPr>
          <t>Note: The designer can not use rainwater harvesting and roof-top disconnection  at the same time.  However, the roof-top disconnection credit includes the option of adding dry wells, rain gardens, rainwater harvesting tanks, etc to include local runoff storage in the impervious cover reduction design process.  See Table 2-3 in Technical Manual.</t>
        </r>
      </text>
    </comment>
    <comment ref="B49" authorId="0" shapeId="0" xr:uid="{00000000-0006-0000-0100-000005000000}">
      <text>
        <r>
          <rPr>
            <b/>
            <sz val="8"/>
            <color indexed="81"/>
            <rFont val="Tahoma"/>
          </rPr>
          <t>Disconnect IC Reduction - See Table 2-3 in Technical Manual which relates disconnection length of impervious cover credit.</t>
        </r>
      </text>
    </comment>
    <comment ref="A79" authorId="0" shapeId="0" xr:uid="{00000000-0006-0000-0100-000006000000}">
      <text>
        <r>
          <rPr>
            <b/>
            <sz val="8"/>
            <color indexed="81"/>
            <rFont val="Tahoma"/>
          </rPr>
          <t>Equation 2.9 in Technical Manual</t>
        </r>
      </text>
    </comment>
    <comment ref="A81" authorId="0" shapeId="0" xr:uid="{00000000-0006-0000-0100-000007000000}">
      <text>
        <r>
          <rPr>
            <b/>
            <sz val="8"/>
            <color indexed="81"/>
            <rFont val="Tahoma"/>
          </rPr>
          <t>Equation 2.10 in Technical Manual</t>
        </r>
      </text>
    </comment>
    <comment ref="A91" authorId="1" shapeId="0" xr:uid="{00000000-0006-0000-0100-000008000000}">
      <text>
        <r>
          <rPr>
            <b/>
            <sz val="8"/>
            <color indexed="81"/>
            <rFont val="Tahoma"/>
            <family val="2"/>
          </rPr>
          <t>When not including infiltration bench, see Sec 4.2.5 in Technical Manual</t>
        </r>
        <r>
          <rPr>
            <sz val="8"/>
            <color indexed="81"/>
            <rFont val="Tahoma"/>
          </rPr>
          <t xml:space="preserve">
</t>
        </r>
      </text>
    </comment>
    <comment ref="A100" authorId="1" shapeId="0" xr:uid="{00000000-0006-0000-0100-000009000000}">
      <text>
        <r>
          <rPr>
            <b/>
            <sz val="8"/>
            <color indexed="81"/>
            <rFont val="Tahoma"/>
            <family val="2"/>
          </rPr>
          <t>When including an
infiltration bench.</t>
        </r>
        <r>
          <rPr>
            <sz val="8"/>
            <color indexed="81"/>
            <rFont val="Tahoma"/>
          </rPr>
          <t xml:space="preserve">
</t>
        </r>
      </text>
    </comment>
    <comment ref="A101" authorId="1" shapeId="0" xr:uid="{00000000-0006-0000-0100-00000A000000}">
      <text>
        <r>
          <rPr>
            <b/>
            <sz val="8"/>
            <color indexed="81"/>
            <rFont val="Tahoma"/>
            <family val="2"/>
          </rPr>
          <t>See Section 4.2.5 in Technical Manual for infiltration bench details.</t>
        </r>
        <r>
          <rPr>
            <sz val="8"/>
            <color indexed="81"/>
            <rFont val="Tahoma"/>
          </rPr>
          <t xml:space="preserve">
</t>
        </r>
      </text>
    </comment>
    <comment ref="B107" authorId="0" shapeId="0" xr:uid="{00000000-0006-0000-0100-00000B000000}">
      <text>
        <r>
          <rPr>
            <b/>
            <sz val="8"/>
            <color indexed="81"/>
            <rFont val="Tahoma"/>
          </rPr>
          <t xml:space="preserve">NVS - Natural vegetated filter strip
</t>
        </r>
      </text>
    </comment>
    <comment ref="B108" authorId="0" shapeId="0" xr:uid="{00000000-0006-0000-0100-00000C000000}">
      <text>
        <r>
          <rPr>
            <b/>
            <sz val="8"/>
            <color indexed="81"/>
            <rFont val="Tahoma"/>
          </rPr>
          <t xml:space="preserve">VFS - Vegetated filter strip
</t>
        </r>
      </text>
    </comment>
    <comment ref="B109" authorId="0" shapeId="0" xr:uid="{00000000-0006-0000-0100-00000D000000}">
      <text>
        <r>
          <rPr>
            <b/>
            <sz val="8"/>
            <color indexed="81"/>
            <rFont val="Tahoma"/>
          </rPr>
          <t>VIS - Vegetated infiltration strip</t>
        </r>
      </text>
    </comment>
    <comment ref="B115" authorId="0" shapeId="0" xr:uid="{00000000-0006-0000-0100-00000E000000}">
      <text>
        <r>
          <rPr>
            <b/>
            <sz val="8"/>
            <color indexed="81"/>
            <rFont val="Tahoma"/>
          </rPr>
          <t>see table 2-10</t>
        </r>
      </text>
    </comment>
    <comment ref="B116" authorId="0" shapeId="0" xr:uid="{00000000-0006-0000-0100-00000F000000}">
      <text>
        <r>
          <rPr>
            <b/>
            <sz val="8"/>
            <color indexed="81"/>
            <rFont val="Tahoma"/>
          </rPr>
          <t xml:space="preserve">Total trench volume, no need to divide by 0.35
</t>
        </r>
      </text>
    </comment>
    <comment ref="B117" authorId="1" shapeId="0" xr:uid="{00000000-0006-0000-0100-000010000000}">
      <text>
        <r>
          <rPr>
            <b/>
            <sz val="8"/>
            <color indexed="81"/>
            <rFont val="Tahoma"/>
            <family val="2"/>
          </rPr>
          <t>Trench cross sectional area must be at least 8 sq ft and filter strip must be 15 ft if VFS or 30 ft if NVS</t>
        </r>
        <r>
          <rPr>
            <sz val="8"/>
            <color indexed="81"/>
            <rFont val="Tahoma"/>
          </rPr>
          <t xml:space="preserve">
</t>
        </r>
      </text>
    </comment>
    <comment ref="B139" authorId="0" shapeId="0" xr:uid="{00000000-0006-0000-0100-000011000000}">
      <text>
        <r>
          <rPr>
            <b/>
            <sz val="8"/>
            <color indexed="81"/>
            <rFont val="Tahoma"/>
          </rPr>
          <t>see table 2-10</t>
        </r>
      </text>
    </comment>
    <comment ref="B140" authorId="0" shapeId="0" xr:uid="{00000000-0006-0000-0100-000012000000}">
      <text>
        <r>
          <rPr>
            <b/>
            <sz val="8"/>
            <color indexed="81"/>
            <rFont val="Tahoma"/>
          </rPr>
          <t xml:space="preserve">Total trench volume, no need to divide by 0.35 </t>
        </r>
      </text>
    </comment>
    <comment ref="B141" authorId="1" shapeId="0" xr:uid="{00000000-0006-0000-0100-000013000000}">
      <text>
        <r>
          <rPr>
            <b/>
            <sz val="8"/>
            <color indexed="81"/>
            <rFont val="Tahoma"/>
            <family val="2"/>
          </rPr>
          <t>Trench cross sectional area must be at least 8 sq ft and filter strip must be 15 ft if VFS or 30 ft if NVS</t>
        </r>
        <r>
          <rPr>
            <sz val="8"/>
            <color indexed="81"/>
            <rFont val="Tahoma"/>
          </rPr>
          <t xml:space="preserve">
</t>
        </r>
      </text>
    </comment>
    <comment ref="A142" authorId="1" shapeId="0" xr:uid="{00000000-0006-0000-0100-000014000000}">
      <text>
        <r>
          <rPr>
            <b/>
            <sz val="8"/>
            <color indexed="81"/>
            <rFont val="Tahoma"/>
            <family val="2"/>
          </rPr>
          <t>No infiltration bench since secondary BMPs are in use.</t>
        </r>
        <r>
          <rPr>
            <sz val="8"/>
            <color indexed="81"/>
            <rFont val="Tahoma"/>
          </rPr>
          <t xml:space="preserve">
</t>
        </r>
      </text>
    </comment>
    <comment ref="B151" authorId="0" shapeId="0" xr:uid="{00000000-0006-0000-0100-000015000000}">
      <text>
        <r>
          <rPr>
            <b/>
            <sz val="8"/>
            <color indexed="81"/>
            <rFont val="Tahoma"/>
          </rPr>
          <t>see table 2-10</t>
        </r>
      </text>
    </comment>
    <comment ref="B152" authorId="0" shapeId="0" xr:uid="{00000000-0006-0000-0100-000016000000}">
      <text>
        <r>
          <rPr>
            <b/>
            <sz val="8"/>
            <color indexed="81"/>
            <rFont val="Tahoma"/>
          </rPr>
          <t xml:space="preserve">Total trench volume, no need to divide by 0.35 </t>
        </r>
        <r>
          <rPr>
            <sz val="8"/>
            <color indexed="81"/>
            <rFont val="Tahoma"/>
          </rPr>
          <t xml:space="preserve">
</t>
        </r>
      </text>
    </comment>
    <comment ref="B153" authorId="1" shapeId="0" xr:uid="{00000000-0006-0000-0100-000017000000}">
      <text>
        <r>
          <rPr>
            <b/>
            <sz val="8"/>
            <color indexed="81"/>
            <rFont val="Tahoma"/>
            <family val="2"/>
          </rPr>
          <t>Trench cross sectional area must be at least 8 sq ft and filter strip must be 15 ft if VFS or 30 ft if NVS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<sst xmlns="http://schemas.openxmlformats.org/spreadsheetml/2006/main" count="642" uniqueCount="349">
  <si>
    <t xml:space="preserve">LCRA HIGHLAND LAKES WATERSHED ORDINANCE </t>
  </si>
  <si>
    <t>Updated May 17, 2021</t>
  </si>
  <si>
    <t>WATER QUALITY MANAGEMENT DESIGN TOOL  - Impervious Cover and Peak Flow Rates</t>
  </si>
  <si>
    <t>Input fields are shaded light green</t>
  </si>
  <si>
    <t>Impervious cover for subdivisions: measure roads, count lots - IC assumptions for single-family (SF) lots are per table 2-4</t>
  </si>
  <si>
    <t>Impervious cover for commercial sites: measure roads, parking lots, and buildings.</t>
  </si>
  <si>
    <t>Project</t>
  </si>
  <si>
    <t>Shady Acres</t>
  </si>
  <si>
    <t xml:space="preserve"> </t>
  </si>
  <si>
    <t>Drainage Area</t>
  </si>
  <si>
    <t>ID</t>
  </si>
  <si>
    <t>Subarea No.</t>
  </si>
  <si>
    <t>TOTAL</t>
  </si>
  <si>
    <t>Area</t>
  </si>
  <si>
    <t>Acres</t>
  </si>
  <si>
    <r>
      <t xml:space="preserve">STEP 1:  DETERMINE IMPERVIOUS COVER AREA </t>
    </r>
    <r>
      <rPr>
        <sz val="10"/>
        <rFont val="Arial"/>
        <family val="2"/>
      </rPr>
      <t>(roads, parking lots, sidewalks, rooftops)</t>
    </r>
  </si>
  <si>
    <t>Street/Parking</t>
  </si>
  <si>
    <t>1a</t>
  </si>
  <si>
    <t>length</t>
  </si>
  <si>
    <t>ft</t>
  </si>
  <si>
    <t>width</t>
  </si>
  <si>
    <t>1b</t>
  </si>
  <si>
    <t>1c</t>
  </si>
  <si>
    <t>IC1a</t>
  </si>
  <si>
    <t>ac</t>
  </si>
  <si>
    <t>IC1b</t>
  </si>
  <si>
    <t>IC1c</t>
  </si>
  <si>
    <t>Total Street IC</t>
  </si>
  <si>
    <t>IC1</t>
  </si>
  <si>
    <t>Residential Lots</t>
  </si>
  <si>
    <t>Impervious Cover from Table 2-4 in Technical Manual</t>
  </si>
  <si>
    <t xml:space="preserve">&gt;3 ac </t>
  </si>
  <si>
    <t>#</t>
  </si>
  <si>
    <t>2a area</t>
  </si>
  <si>
    <t>1-3 ac</t>
  </si>
  <si>
    <t>2b area</t>
  </si>
  <si>
    <t>15,000 sf-1ac</t>
  </si>
  <si>
    <t>2c area</t>
  </si>
  <si>
    <t>10,000-15,000 sf</t>
  </si>
  <si>
    <t>2d Area</t>
  </si>
  <si>
    <t>5,750-10,000 sf</t>
  </si>
  <si>
    <t>2e Area</t>
  </si>
  <si>
    <t>&lt; 5,750 sf</t>
  </si>
  <si>
    <t>2f Area</t>
  </si>
  <si>
    <t>Total Res Lot IC</t>
  </si>
  <si>
    <t>IC 2</t>
  </si>
  <si>
    <t>Parking Lot IC</t>
  </si>
  <si>
    <t>IC 3</t>
  </si>
  <si>
    <t>Comm Bldg IC</t>
  </si>
  <si>
    <t>Total Impervious Area</t>
  </si>
  <si>
    <t>Step 2:  Compute Runoff Amount (Use for determining flow spreader length, weir length, orifice size, etc.)</t>
  </si>
  <si>
    <t>See "C" Value, "n" and Permeability sheet to select "C" and "n" values for this table</t>
  </si>
  <si>
    <t>Sub area</t>
  </si>
  <si>
    <t>Total IC</t>
  </si>
  <si>
    <t>%</t>
  </si>
  <si>
    <t>Sheet flow</t>
  </si>
  <si>
    <t>L, ft</t>
  </si>
  <si>
    <t>n</t>
  </si>
  <si>
    <t>s, ft/ft</t>
  </si>
  <si>
    <t>tc, min</t>
  </si>
  <si>
    <t>Shall conc</t>
  </si>
  <si>
    <t>Channel</t>
  </si>
  <si>
    <t>v, fps</t>
  </si>
  <si>
    <t>Total</t>
  </si>
  <si>
    <t>Tc</t>
  </si>
  <si>
    <t>Rainfall Intensity</t>
  </si>
  <si>
    <t xml:space="preserve">Intensity 1-year </t>
  </si>
  <si>
    <t>in/hr</t>
  </si>
  <si>
    <t>Intensity 10-year</t>
  </si>
  <si>
    <t>Intensity 25-year</t>
  </si>
  <si>
    <t>Runoff Coefficients</t>
  </si>
  <si>
    <t>Pervious</t>
  </si>
  <si>
    <t xml:space="preserve">C1 </t>
  </si>
  <si>
    <t>C10</t>
  </si>
  <si>
    <t>C25</t>
  </si>
  <si>
    <t>Impervious</t>
  </si>
  <si>
    <t>Composite "C"</t>
  </si>
  <si>
    <t>Runoff 1-Year</t>
  </si>
  <si>
    <t>cfs</t>
  </si>
  <si>
    <t>Runoff 10-Year</t>
  </si>
  <si>
    <t>Runoff 25-Year</t>
  </si>
  <si>
    <t>WATER QUALITY MANAGEMENT DESIGN TOOL  - Water Quality BMP Design</t>
  </si>
  <si>
    <t>Use on an individual drainage area basis.</t>
  </si>
  <si>
    <t>All references to tables and figures can be found in the Highland Lakes Ordinance Water Quality Technical Manual</t>
  </si>
  <si>
    <t>Cells shaded in light green are data input cells</t>
  </si>
  <si>
    <t>STEP 1:  USE THE IC &amp; RUNOFF WORKSHEET TO INPUT DRAINAGE AREA AND IMPERVIOUS COVER</t>
  </si>
  <si>
    <t>Section 2.3.3</t>
  </si>
  <si>
    <t>No.</t>
  </si>
  <si>
    <t>Impervious Cover Type</t>
  </si>
  <si>
    <t>Buildings</t>
  </si>
  <si>
    <t>Parking Lots</t>
  </si>
  <si>
    <t>Impervious Cover</t>
  </si>
  <si>
    <t>All Subarea IC &lt; 20%  ?</t>
  </si>
  <si>
    <t>If YES,    is total project impervious cover &lt; 15%</t>
  </si>
  <si>
    <t xml:space="preserve">If YES, does the street and drainage network use open roadway section, </t>
  </si>
  <si>
    <t xml:space="preserve">  ribbon curb, and maintain sheet flow where practical?</t>
  </si>
  <si>
    <r>
      <t>If Answer YES to all of the conditions</t>
    </r>
    <r>
      <rPr>
        <b/>
        <sz val="9"/>
        <rFont val="Arial"/>
        <family val="2"/>
      </rPr>
      <t xml:space="preserve">, then proceed to Alternate </t>
    </r>
  </si>
  <si>
    <t xml:space="preserve">  Standards for single-family development projects - Water quality</t>
  </si>
  <si>
    <t xml:space="preserve">  management BMP volume is not required per Ordinance 5(b)(2)</t>
  </si>
  <si>
    <t>If Answer NO to one of the conditions, proceed to Step 2</t>
  </si>
  <si>
    <t>STEP 2:  DETERMINE STORMWATER CREDITS TO REDUCE IMPERVIOUS COVER</t>
  </si>
  <si>
    <t>Section 2.3.2</t>
  </si>
  <si>
    <t>Stormwater Credit Type</t>
  </si>
  <si>
    <t>Porous Pavement</t>
  </si>
  <si>
    <t>porous area</t>
  </si>
  <si>
    <t>IC reduction</t>
  </si>
  <si>
    <t>Eqn 2.1</t>
  </si>
  <si>
    <t>Pavers</t>
  </si>
  <si>
    <t>paver area</t>
  </si>
  <si>
    <t>open space</t>
  </si>
  <si>
    <t>Eqn 2.2</t>
  </si>
  <si>
    <t>Rainwater Harvesting</t>
  </si>
  <si>
    <t>roof area to barrel</t>
  </si>
  <si>
    <t>sf</t>
  </si>
  <si>
    <t>rain barrel volume</t>
  </si>
  <si>
    <t>cf</t>
  </si>
  <si>
    <t>barrel vol/roof area</t>
  </si>
  <si>
    <t>% IC reduction</t>
  </si>
  <si>
    <t># roofs</t>
  </si>
  <si>
    <t>Eqn 2.3</t>
  </si>
  <si>
    <t>Roof-top Disconnection</t>
  </si>
  <si>
    <t>roof area</t>
  </si>
  <si>
    <t xml:space="preserve">% </t>
  </si>
  <si>
    <t>Eqn 2.5</t>
  </si>
  <si>
    <t>Soil Amendment and Conservation</t>
  </si>
  <si>
    <t>amended area</t>
  </si>
  <si>
    <t>Eqn 2.4</t>
  </si>
  <si>
    <t>Conservation Landscaping</t>
  </si>
  <si>
    <t>Eqn 2.4.1</t>
  </si>
  <si>
    <t>Total IC reduction</t>
  </si>
  <si>
    <t xml:space="preserve">Effective Impervious Cover </t>
  </si>
  <si>
    <t>Eqn 2.6</t>
  </si>
  <si>
    <t>Eqn 2.8</t>
  </si>
  <si>
    <t>Natural Area Preservation Credit</t>
  </si>
  <si>
    <t>nat area preserved</t>
  </si>
  <si>
    <t>Effective Drainage Area</t>
  </si>
  <si>
    <t>Eqn 2.7</t>
  </si>
  <si>
    <t xml:space="preserve">See 2.3.2 in the Technical Manual for details on determining impervious cover reduction and 4.3 for </t>
  </si>
  <si>
    <t>construction, implementation and maintenance information.</t>
  </si>
  <si>
    <t>All Subareas effective IC &lt;20% ?</t>
  </si>
  <si>
    <t>If YES, is total project impervious cover &lt; 15%</t>
  </si>
  <si>
    <t>If Answer NO to one of the conditions, proceed to Step 3</t>
  </si>
  <si>
    <t>STEP 3: WATER QUALITY BMP DESIGN</t>
  </si>
  <si>
    <t xml:space="preserve">1-year, 3-hour rainfall = </t>
  </si>
  <si>
    <t>in</t>
  </si>
  <si>
    <t>Compute Runoff Volume for the 1-year storm =</t>
  </si>
  <si>
    <t>Eqn 2.9</t>
  </si>
  <si>
    <t xml:space="preserve">Compute Water Quality Volume (WQV) = </t>
  </si>
  <si>
    <t>Eqn 2.10</t>
  </si>
  <si>
    <t>Designer has the option to select a water quality basin with a secondary BMP or a stand-alone BMP</t>
  </si>
  <si>
    <t>BMPs in Series utilize a water quality basin in combination with a  secondary BMP</t>
  </si>
  <si>
    <t>The following basins require a secondary BMP, which can be up-gradient or down-gradient of the basin.</t>
  </si>
  <si>
    <t>Primary BMP (needs secondary BMP in series)</t>
  </si>
  <si>
    <t>Extended Detention Basin</t>
  </si>
  <si>
    <t xml:space="preserve">Volume </t>
  </si>
  <si>
    <t>Sand Filter</t>
  </si>
  <si>
    <t>Wet Pond/Stormwater Wetlands</t>
  </si>
  <si>
    <t>Stand alone BMPs do not require a secondary BMP</t>
  </si>
  <si>
    <t>The following are stand-alone basins and their respective volume</t>
  </si>
  <si>
    <t>Primary BMP (stand-alone BMP)</t>
  </si>
  <si>
    <t>Bioretention Basin</t>
  </si>
  <si>
    <t xml:space="preserve">Biofiltration Basin </t>
  </si>
  <si>
    <t>Retention/Irrigation Basin</t>
  </si>
  <si>
    <t>Infiltration bench area</t>
  </si>
  <si>
    <t xml:space="preserve">When using BMPs in series, designer has the option to select an up-gradient BMP or down-gradient BMP </t>
  </si>
  <si>
    <t>(choose to match the select primary BMP)</t>
  </si>
  <si>
    <t>upgradient of primary BMP</t>
  </si>
  <si>
    <t>NVS</t>
  </si>
  <si>
    <t>See Table 2-9</t>
  </si>
  <si>
    <t>VFS</t>
  </si>
  <si>
    <t xml:space="preserve">for Equations </t>
  </si>
  <si>
    <t>VIS</t>
  </si>
  <si>
    <t>Down-gradient of Primary BMP</t>
  </si>
  <si>
    <t>Bioretention</t>
  </si>
  <si>
    <t>Infil Basin</t>
  </si>
  <si>
    <t>IT vol reduction</t>
  </si>
  <si>
    <t xml:space="preserve">See Table 2-10 </t>
  </si>
  <si>
    <t>Infil Trench Vol</t>
  </si>
  <si>
    <t>for soil permeability</t>
  </si>
  <si>
    <t>Infil Trench + Strip</t>
  </si>
  <si>
    <t>lf</t>
  </si>
  <si>
    <t>Batch Extended Detention Basin</t>
  </si>
  <si>
    <t xml:space="preserve">See Section 4.2.7 </t>
  </si>
  <si>
    <t xml:space="preserve">for filter strip </t>
  </si>
  <si>
    <t>design criteria</t>
  </si>
  <si>
    <t>Verify % area treated for up-gradient BMPs to comply with requirements</t>
  </si>
  <si>
    <t xml:space="preserve">Drainage Area not treated = </t>
  </si>
  <si>
    <t>Drainage Area treated =</t>
  </si>
  <si>
    <t>Up-gradient BMPs (filter strips) must treat at least 90% (ED Basin), 70% (sand filter), and 50% (wet pond) of the drainage area.</t>
  </si>
  <si>
    <t>STEP 4: FLOW SPREADER DESIGN</t>
  </si>
  <si>
    <t>Flow spreading of concentrated outflows from water quality basins, flow splitting devices and spillways is required to convert runoff from the 1-yr, 3-hr storm event to sheet flow prior discharging to a buffer zone or from site unless the outfall discharges to a storm drain or a stable channel that is not in a buffer zone.</t>
  </si>
  <si>
    <r>
      <t>Flow Spreader L = 5*Q</t>
    </r>
    <r>
      <rPr>
        <b/>
        <vertAlign val="subscript"/>
        <sz val="9"/>
        <rFont val="Arial"/>
        <family val="2"/>
      </rPr>
      <t xml:space="preserve">1-year developed </t>
    </r>
  </si>
  <si>
    <t>Length required</t>
  </si>
  <si>
    <t>feet</t>
  </si>
  <si>
    <t>Eqn 2.11</t>
  </si>
  <si>
    <t>WATER QUALITY MANAGEMENT DESIGN TOOL  - Commercial Development - Alternate Standards</t>
  </si>
  <si>
    <t>PROJECT:</t>
  </si>
  <si>
    <t>Drainage Area ID</t>
  </si>
  <si>
    <t xml:space="preserve">Drainage Area (DA) </t>
  </si>
  <si>
    <t>acres</t>
  </si>
  <si>
    <t>Compute Impervious Cover</t>
  </si>
  <si>
    <t>IC</t>
  </si>
  <si>
    <t>(acres)</t>
  </si>
  <si>
    <t>Driveways</t>
  </si>
  <si>
    <t>Parking lots</t>
  </si>
  <si>
    <t xml:space="preserve">Building </t>
  </si>
  <si>
    <t>% Impervious Cover</t>
  </si>
  <si>
    <t>STEP 1: Determine if commercial tract is less than 3 acres in area.</t>
  </si>
  <si>
    <t>Is commercial tract less than 3 acres in area?</t>
  </si>
  <si>
    <r>
      <t>If YES to all of the conditions</t>
    </r>
    <r>
      <rPr>
        <b/>
        <sz val="9"/>
        <rFont val="Arial"/>
        <family val="2"/>
      </rPr>
      <t xml:space="preserve">, then proceed to Alternate </t>
    </r>
  </si>
  <si>
    <t xml:space="preserve">Standards Design for commerical development </t>
  </si>
  <si>
    <t xml:space="preserve">If Answer NO to one of the conditions, proceed to </t>
  </si>
  <si>
    <t xml:space="preserve">WQ Design Worksheet Step 3 </t>
  </si>
  <si>
    <t>STEP 2: Alternate Standards Design for commercial development, tract size less than 3 acres</t>
  </si>
  <si>
    <t>Vegetated filter strips located down-gradient of the developed area can be used to provide water quality protection for the project.</t>
  </si>
  <si>
    <t>Stormwater runoff must discharge in a sheet flow manner from the impervious areas to the vegetated filter strips.</t>
  </si>
  <si>
    <t>inches</t>
  </si>
  <si>
    <t>Equation 2.9 in Technical Manual</t>
  </si>
  <si>
    <t>cubic feet</t>
  </si>
  <si>
    <t>Equation 2.10 in Technical Manual</t>
  </si>
  <si>
    <t>Compute Vegetated Filter Strip Area</t>
  </si>
  <si>
    <t>Filter Strip Type</t>
  </si>
  <si>
    <t xml:space="preserve">Area </t>
  </si>
  <si>
    <t>Natural Vegetated Filter Strip</t>
  </si>
  <si>
    <t>square feet</t>
  </si>
  <si>
    <t>Equation 2.12 in Technical Manual</t>
  </si>
  <si>
    <t>Vegetated Filter Strip</t>
  </si>
  <si>
    <t>Equation 2.13 in Technical Manual</t>
  </si>
  <si>
    <t>Vegetated Infiltration Strip</t>
  </si>
  <si>
    <t>Equation 2.14 in Technical Manual</t>
  </si>
  <si>
    <t>Locate the selected filter strip down-gradient from the impervious area.  See Chapter 4.2.7 in Technical Manual for filter strip details.</t>
  </si>
  <si>
    <t>STEP 3:  Minimum Filter Strip Width to ensure sheet flow</t>
  </si>
  <si>
    <t>When filter strips are used as a BMP for a contributing drainage area less than 3 acres.</t>
  </si>
  <si>
    <t xml:space="preserve">assuming 5 min Tc, concrete pavement and clay soils on 2-7% slope; to vary these parameters, </t>
  </si>
  <si>
    <t>use Subarea 1 in the "IC &amp; Runoff" spreadsheet to compute the peak discharge rate and multiply by 10.</t>
  </si>
  <si>
    <r>
      <t>Minimum Filter Strip Width L = 10*Q</t>
    </r>
    <r>
      <rPr>
        <b/>
        <vertAlign val="subscript"/>
        <sz val="9"/>
        <rFont val="Arial"/>
        <family val="2"/>
      </rPr>
      <t xml:space="preserve">1-year developed </t>
    </r>
  </si>
  <si>
    <t>Equation 2.15 in Technical Manual</t>
  </si>
  <si>
    <t xml:space="preserve">Rational Method, Runoff Coefficients "C" Values </t>
  </si>
  <si>
    <t>(Source: 1981 City of Austin Drainage Criteria Manual)</t>
  </si>
  <si>
    <t>Appendix 2.4 in Technical Manual</t>
  </si>
  <si>
    <t xml:space="preserve">Rational Method Runoff Coefficients </t>
  </si>
  <si>
    <t>1-year</t>
  </si>
  <si>
    <t>10-yr</t>
  </si>
  <si>
    <t>25-yr</t>
  </si>
  <si>
    <t>Streets, Asphalt</t>
  </si>
  <si>
    <t>Streets, Concrete</t>
  </si>
  <si>
    <t>Drives &amp; Walks (Concrete)</t>
  </si>
  <si>
    <t>Roofs</t>
  </si>
  <si>
    <t>Lawns, Sandy Soil, Flat, 0-2% slope</t>
  </si>
  <si>
    <t>Lawns, Sandy Soil, Average, 2-7%</t>
  </si>
  <si>
    <t>Lawns, Sandy Soil, Steep, over 7%</t>
  </si>
  <si>
    <t>Lawns, Clay Soil, Flat, 0-2%</t>
  </si>
  <si>
    <t>Lawns, Clay Soil, Average, 2-7%</t>
  </si>
  <si>
    <t>Lawns, Clay Soil, Steep, over 7%</t>
  </si>
  <si>
    <t>Undeveloped Woodlands and Pastureland, Sandy Soil, Flat, 0-2%</t>
  </si>
  <si>
    <t>Undeveloped Woodlands and Pastureland, Sandy Soil, Average, 2-7%</t>
  </si>
  <si>
    <t>Undeveloped Woodlands and Pastureland, Sandy Soil, Steep, over 7%</t>
  </si>
  <si>
    <t>Undeveloped Woodlands and Pastureland, Clay Soil, Flat, 0-2%</t>
  </si>
  <si>
    <t>Undeveloped Woodlands and Pastureland, Clay Soil, Average, 2-7%</t>
  </si>
  <si>
    <t>Undeveloped Woodlands and Pastureland, Clay Soil, Steep, over 7%</t>
  </si>
  <si>
    <t>Manning's "n" for Overland Flow and Shallow Concentrated Flow</t>
  </si>
  <si>
    <t>Condition</t>
  </si>
  <si>
    <t>Manning's "n"</t>
  </si>
  <si>
    <t>Concrete (rough or smoothed finish)</t>
  </si>
  <si>
    <t>Asphalt</t>
  </si>
  <si>
    <t>0-50% vegetated ground cover, remaining bare soil or rock outcrops, minimum brush or tree cover</t>
  </si>
  <si>
    <t>50-90% vegetated ground cover, remaining bare soil or rock outcrops, minimum brush or tree cover</t>
  </si>
  <si>
    <t>100% vegetated ground cover, medium- dense grasses (lawns, grassy fields, etc.) medium brush or tree cover</t>
  </si>
  <si>
    <t>100% vegetated ground cover with areas of heavy vegetation (parks, green- belts, riparian areas, etc.) dense under- growth with medium to heavy tree growth</t>
  </si>
  <si>
    <t>Manning's "n" for New or Altered Channels</t>
  </si>
  <si>
    <t>Type of channel and description</t>
  </si>
  <si>
    <t>1.  Grass lined</t>
  </si>
  <si>
    <t xml:space="preserve">     a.  Bermuda (with regular mowing)</t>
  </si>
  <si>
    <t xml:space="preserve">     b.  St. Augustine (with regular mowing)</t>
  </si>
  <si>
    <t xml:space="preserve">     c.  Native grasses and vegetation not mowed regularly</t>
  </si>
  <si>
    <t>2.  Concrete</t>
  </si>
  <si>
    <t xml:space="preserve">     a.  Concrete lined (rough finish)</t>
  </si>
  <si>
    <t xml:space="preserve">     b.  Concrete lined (smooth finish-culverts)</t>
  </si>
  <si>
    <t xml:space="preserve">     c.  Concrete rip-rap (exposed rubble)</t>
  </si>
  <si>
    <t>3.  Gabion</t>
  </si>
  <si>
    <t>4.  Rock-cut</t>
  </si>
  <si>
    <t>Design Guidance for Soil Permeability</t>
  </si>
  <si>
    <t>Soil Survey Average k (in/hr)</t>
  </si>
  <si>
    <t>Soil Investigation Average k (in/hr)</t>
  </si>
  <si>
    <t>Infiltration Basin Allowable Ponding Depth (feet)</t>
  </si>
  <si>
    <t>Infiltration Trench Volume Reduction</t>
  </si>
  <si>
    <t>Less than 0.40</t>
  </si>
  <si>
    <t>Less than 0.30</t>
  </si>
  <si>
    <t>Not Permitted</t>
  </si>
  <si>
    <t>0.40 to 0.59</t>
  </si>
  <si>
    <t>0.30 to 0.49</t>
  </si>
  <si>
    <t>0.60 to 0.79</t>
  </si>
  <si>
    <t>0.50 to 0.69</t>
  </si>
  <si>
    <t>0.80 to 0.99</t>
  </si>
  <si>
    <t>0.70 to 0.89</t>
  </si>
  <si>
    <t>1.0 and higher</t>
  </si>
  <si>
    <t>0.9 and higher</t>
  </si>
  <si>
    <t>Peak Discharge Rate - Undeveloped Drainage Basins</t>
  </si>
  <si>
    <t xml:space="preserve">For use in calibration guidance in watershed hydrologic modeling.  </t>
  </si>
  <si>
    <t>For Watersheds Greater than 200 acres in area.</t>
  </si>
  <si>
    <t>Change</t>
  </si>
  <si>
    <t>Drainage</t>
  </si>
  <si>
    <t>Contributing</t>
  </si>
  <si>
    <t>Stream</t>
  </si>
  <si>
    <t>Shape</t>
  </si>
  <si>
    <t>Peak Discharge</t>
  </si>
  <si>
    <t>Peak Flow / Acre</t>
  </si>
  <si>
    <t>Number</t>
  </si>
  <si>
    <t>Segment</t>
  </si>
  <si>
    <t>Length</t>
  </si>
  <si>
    <t>Elevation</t>
  </si>
  <si>
    <t>Factor</t>
  </si>
  <si>
    <t>Slope</t>
  </si>
  <si>
    <t>2Yr</t>
  </si>
  <si>
    <t>5Yr</t>
  </si>
  <si>
    <t>10Yr</t>
  </si>
  <si>
    <t>25Yr</t>
  </si>
  <si>
    <t>50Yr</t>
  </si>
  <si>
    <t>100Yr</t>
  </si>
  <si>
    <r>
      <t>(mi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)</t>
    </r>
  </si>
  <si>
    <t>(mi)</t>
  </si>
  <si>
    <t>(ft)</t>
  </si>
  <si>
    <t>(ft/mi)</t>
  </si>
  <si>
    <t>(cfs)</t>
  </si>
  <si>
    <t>(cfs/ac)</t>
  </si>
  <si>
    <t>* Method based on: "Multiple-Regression Equations to Estimate Peak Flow Frequency for Streams in Hays County, Texas",USGS, R. Slade, Jr.,et.al., Water Resources Inv. Rpt. 95-4019, 1995, Austin, Tx.</t>
  </si>
  <si>
    <t>Applicable for hill country-type watersheds in and adjacent to Hays County that are uninfluenced by development,</t>
  </si>
  <si>
    <r>
      <t>and which are between 0.3 and 412 mi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in area, have stream slopes ranging from 12.56 to 155 ft/mi., and shape factors ranging from 1.8 to 11.</t>
    </r>
  </si>
  <si>
    <r>
      <t>Shape factor is the stream length (in miles) squared divided by the drainage area (mi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).</t>
    </r>
  </si>
  <si>
    <t>Method based on: "Regional Equations for Estimation of Peak-Streamflow Frequency for Natural Basins in Texas", USGS, Report 96-4307.</t>
  </si>
  <si>
    <t>Austin, Texas,  1997.  Region 5 equations.  These equations can be used on sites with contributing drainage areas less than 32 square miles.</t>
  </si>
  <si>
    <t>For larger watersheds, refer to the report.</t>
  </si>
  <si>
    <t>Average of Gage Equations - Peak Flow Rates for Undeveloped Drainage Basins</t>
  </si>
  <si>
    <t>Storm</t>
  </si>
  <si>
    <t>Peak (cfs)</t>
  </si>
  <si>
    <t>2-Yr</t>
  </si>
  <si>
    <t>5- Yr</t>
  </si>
  <si>
    <t>10-Yr</t>
  </si>
  <si>
    <t>25-Yr</t>
  </si>
  <si>
    <t>100-Yr</t>
  </si>
  <si>
    <t xml:space="preserve">Developed Peak Discharge Rate for Developed Drainage Basins </t>
  </si>
  <si>
    <t>For use in calibration guidance in watershed hydrologic modeling.</t>
  </si>
  <si>
    <t>Cover</t>
  </si>
  <si>
    <t>(%)</t>
  </si>
  <si>
    <t>Methods based on:  "The Effects of Urbanization on Floods in the Austin Metropolitan Area, Texas", USGS Water Investigations Report 86-4069.</t>
  </si>
  <si>
    <t xml:space="preserve">By Jack Veehuis and David G. Gannett.  The equations are applicable to basins with drainage areas that range from 2.0 to 20 square miles.  </t>
  </si>
  <si>
    <t>The studied streams total impervious cover ranged from 5 to 42 percent, thus, the user should consider this range in the use of the equations.</t>
  </si>
  <si>
    <t>Updated April 10, 2023</t>
  </si>
  <si>
    <t>Extended/Batch Detention Basin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</si>
</sst>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u/>
      <sz val="11"/>
      <name val="Arial"/>
      <family val="2"/>
    </font>
    <font>
      <b/>
      <sz val="9"/>
      <color indexed="10"/>
      <name val="Arial"/>
      <family val="2"/>
    </font>
    <font>
      <b/>
      <vertAlign val="subscript"/>
      <sz val="9"/>
      <name val="Arial"/>
      <family val="2"/>
    </font>
    <font>
      <b/>
      <sz val="10"/>
      <color indexed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</font>
    <font>
      <sz val="10"/>
      <name val="Tahoma"/>
    </font>
    <font>
      <b/>
      <sz val="8"/>
      <color indexed="81"/>
      <name val="Tahoma"/>
    </font>
    <font>
      <sz val="8"/>
      <color indexed="81"/>
      <name val="Tahoma"/>
    </font>
    <font>
      <sz val="9"/>
      <name val="Tahoma"/>
      <family val="2"/>
    </font>
    <font>
      <b/>
      <i/>
      <sz val="20"/>
      <color indexed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3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203">
    <xf numFmtId="0" fontId="0" fillId="0" borderId="0" xfId="0"/>
    <xf numFmtId="0" fontId="2" fillId="0" borderId="0" xfId="0" applyFont="1"/>
    <xf numFmtId="3" fontId="0" fillId="0" borderId="0" xfId="0" applyNumberForma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left"/>
    </xf>
    <xf numFmtId="1" fontId="0" fillId="0" borderId="0" xfId="0" applyNumberFormat="1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/>
    <xf numFmtId="0" fontId="7" fillId="0" borderId="4" xfId="0" applyFont="1" applyBorder="1" applyAlignment="1">
      <alignment horizontal="center"/>
    </xf>
    <xf numFmtId="0" fontId="8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8" fillId="0" borderId="2" xfId="0" applyFont="1" applyBorder="1"/>
    <xf numFmtId="2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/>
    </xf>
    <xf numFmtId="3" fontId="7" fillId="0" borderId="0" xfId="0" applyNumberFormat="1" applyFont="1"/>
    <xf numFmtId="165" fontId="7" fillId="0" borderId="0" xfId="0" applyNumberFormat="1" applyFont="1"/>
    <xf numFmtId="0" fontId="11" fillId="0" borderId="0" xfId="0" applyFont="1"/>
    <xf numFmtId="2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left"/>
    </xf>
    <xf numFmtId="0" fontId="8" fillId="0" borderId="9" xfId="0" applyFont="1" applyBorder="1"/>
    <xf numFmtId="2" fontId="7" fillId="0" borderId="9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7" fillId="2" borderId="0" xfId="0" applyFont="1" applyFill="1"/>
    <xf numFmtId="2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2" fillId="2" borderId="0" xfId="0" applyFont="1" applyFill="1"/>
    <xf numFmtId="0" fontId="8" fillId="2" borderId="0" xfId="0" applyFont="1" applyFill="1"/>
    <xf numFmtId="0" fontId="13" fillId="0" borderId="0" xfId="0" applyFont="1"/>
    <xf numFmtId="0" fontId="0" fillId="2" borderId="0" xfId="0" applyFill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10" fontId="15" fillId="0" borderId="0" xfId="0" applyNumberFormat="1" applyFont="1"/>
    <xf numFmtId="0" fontId="15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5" fillId="0" borderId="2" xfId="0" applyFont="1" applyBorder="1"/>
    <xf numFmtId="0" fontId="16" fillId="3" borderId="2" xfId="1" applyFont="1" applyFill="1" applyBorder="1"/>
    <xf numFmtId="0" fontId="15" fillId="3" borderId="2" xfId="0" applyFont="1" applyFill="1" applyBorder="1"/>
    <xf numFmtId="0" fontId="16" fillId="0" borderId="2" xfId="1" applyFont="1" applyBorder="1"/>
    <xf numFmtId="0" fontId="14" fillId="2" borderId="0" xfId="0" applyFont="1" applyFill="1"/>
    <xf numFmtId="0" fontId="15" fillId="2" borderId="0" xfId="0" applyFont="1" applyFill="1"/>
    <xf numFmtId="2" fontId="11" fillId="0" borderId="0" xfId="0" applyNumberFormat="1" applyFont="1" applyAlignment="1">
      <alignment horizontal="center"/>
    </xf>
    <xf numFmtId="2" fontId="15" fillId="0" borderId="2" xfId="0" applyNumberFormat="1" applyFont="1" applyBorder="1"/>
    <xf numFmtId="2" fontId="0" fillId="0" borderId="0" xfId="0" applyNumberFormat="1"/>
    <xf numFmtId="0" fontId="17" fillId="0" borderId="15" xfId="1" applyBorder="1"/>
    <xf numFmtId="2" fontId="15" fillId="0" borderId="0" xfId="0" applyNumberFormat="1" applyFont="1"/>
    <xf numFmtId="0" fontId="7" fillId="3" borderId="2" xfId="0" applyFont="1" applyFill="1" applyBorder="1"/>
    <xf numFmtId="0" fontId="7" fillId="0" borderId="2" xfId="0" applyFont="1" applyBorder="1"/>
    <xf numFmtId="0" fontId="16" fillId="0" borderId="0" xfId="1" applyFont="1"/>
    <xf numFmtId="0" fontId="14" fillId="0" borderId="0" xfId="0" applyFont="1" applyAlignment="1">
      <alignment horizontal="left" wrapText="1" indent="2"/>
    </xf>
    <xf numFmtId="2" fontId="16" fillId="0" borderId="2" xfId="1" applyNumberFormat="1" applyFont="1" applyBorder="1"/>
    <xf numFmtId="2" fontId="16" fillId="3" borderId="2" xfId="1" applyNumberFormat="1" applyFont="1" applyFill="1" applyBorder="1"/>
    <xf numFmtId="2" fontId="14" fillId="0" borderId="2" xfId="1" applyNumberFormat="1" applyFont="1" applyBorder="1"/>
    <xf numFmtId="3" fontId="16" fillId="0" borderId="2" xfId="1" applyNumberFormat="1" applyFont="1" applyBorder="1"/>
    <xf numFmtId="3" fontId="16" fillId="0" borderId="16" xfId="1" applyNumberFormat="1" applyFont="1" applyBorder="1"/>
    <xf numFmtId="0" fontId="15" fillId="0" borderId="17" xfId="0" applyFont="1" applyBorder="1"/>
    <xf numFmtId="2" fontId="16" fillId="3" borderId="8" xfId="1" applyNumberFormat="1" applyFont="1" applyFill="1" applyBorder="1"/>
    <xf numFmtId="164" fontId="7" fillId="0" borderId="9" xfId="0" applyNumberFormat="1" applyFont="1" applyBorder="1" applyAlignment="1">
      <alignment horizontal="center"/>
    </xf>
    <xf numFmtId="0" fontId="14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3" fontId="16" fillId="0" borderId="18" xfId="1" applyNumberFormat="1" applyFont="1" applyBorder="1"/>
    <xf numFmtId="3" fontId="16" fillId="0" borderId="8" xfId="1" applyNumberFormat="1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 wrapText="1"/>
    </xf>
    <xf numFmtId="0" fontId="7" fillId="4" borderId="0" xfId="0" applyFont="1" applyFill="1"/>
    <xf numFmtId="0" fontId="8" fillId="4" borderId="0" xfId="0" applyFont="1" applyFill="1"/>
    <xf numFmtId="3" fontId="7" fillId="4" borderId="0" xfId="0" applyNumberFormat="1" applyFont="1" applyFill="1" applyAlignment="1">
      <alignment horizontal="center"/>
    </xf>
    <xf numFmtId="2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4" fillId="0" borderId="2" xfId="1" applyFont="1" applyBorder="1"/>
    <xf numFmtId="2" fontId="15" fillId="2" borderId="0" xfId="0" applyNumberFormat="1" applyFont="1" applyFill="1"/>
    <xf numFmtId="0" fontId="2" fillId="0" borderId="1" xfId="0" applyFont="1" applyBorder="1"/>
    <xf numFmtId="0" fontId="10" fillId="5" borderId="0" xfId="0" applyFont="1" applyFill="1"/>
    <xf numFmtId="0" fontId="7" fillId="5" borderId="0" xfId="0" applyFont="1" applyFill="1"/>
    <xf numFmtId="0" fontId="8" fillId="5" borderId="0" xfId="0" applyFont="1" applyFill="1"/>
    <xf numFmtId="0" fontId="0" fillId="5" borderId="0" xfId="0" applyFill="1"/>
    <xf numFmtId="164" fontId="14" fillId="0" borderId="2" xfId="1" applyNumberFormat="1" applyFont="1" applyBorder="1"/>
    <xf numFmtId="164" fontId="14" fillId="0" borderId="2" xfId="0" applyNumberFormat="1" applyFont="1" applyBorder="1"/>
    <xf numFmtId="0" fontId="10" fillId="4" borderId="0" xfId="0" applyFont="1" applyFill="1"/>
    <xf numFmtId="0" fontId="7" fillId="4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3" fontId="16" fillId="0" borderId="19" xfId="1" applyNumberFormat="1" applyFont="1" applyBorder="1"/>
    <xf numFmtId="2" fontId="16" fillId="0" borderId="0" xfId="1" applyNumberFormat="1" applyFont="1"/>
    <xf numFmtId="2" fontId="8" fillId="4" borderId="0" xfId="0" applyNumberFormat="1" applyFont="1" applyFill="1" applyAlignment="1">
      <alignment horizontal="left"/>
    </xf>
    <xf numFmtId="0" fontId="9" fillId="0" borderId="0" xfId="0" applyFont="1" applyAlignment="1">
      <alignment horizontal="center"/>
    </xf>
    <xf numFmtId="0" fontId="1" fillId="4" borderId="0" xfId="0" applyFont="1" applyFill="1"/>
    <xf numFmtId="9" fontId="8" fillId="0" borderId="0" xfId="0" applyNumberFormat="1" applyFont="1" applyAlignment="1">
      <alignment horizontal="center"/>
    </xf>
    <xf numFmtId="164" fontId="14" fillId="0" borderId="0" xfId="1" applyNumberFormat="1" applyFont="1"/>
    <xf numFmtId="164" fontId="20" fillId="0" borderId="0" xfId="1" applyNumberFormat="1" applyFont="1" applyAlignment="1">
      <alignment horizontal="center"/>
    </xf>
    <xf numFmtId="164" fontId="16" fillId="0" borderId="2" xfId="1" applyNumberFormat="1" applyFont="1" applyBorder="1"/>
    <xf numFmtId="0" fontId="14" fillId="3" borderId="2" xfId="1" applyFont="1" applyFill="1" applyBorder="1"/>
    <xf numFmtId="0" fontId="14" fillId="0" borderId="2" xfId="1" applyFont="1" applyBorder="1" applyAlignment="1">
      <alignment horizontal="right"/>
    </xf>
    <xf numFmtId="1" fontId="15" fillId="0" borderId="2" xfId="0" applyNumberFormat="1" applyFont="1" applyBorder="1"/>
    <xf numFmtId="0" fontId="14" fillId="3" borderId="0" xfId="0" applyFont="1" applyFill="1"/>
    <xf numFmtId="0" fontId="7" fillId="3" borderId="0" xfId="0" applyFont="1" applyFill="1"/>
    <xf numFmtId="0" fontId="9" fillId="3" borderId="2" xfId="0" applyFont="1" applyFill="1" applyBorder="1" applyAlignment="1">
      <alignment horizontal="center"/>
    </xf>
    <xf numFmtId="2" fontId="9" fillId="3" borderId="2" xfId="0" applyNumberFormat="1" applyFont="1" applyFill="1" applyBorder="1" applyAlignment="1">
      <alignment horizontal="center"/>
    </xf>
    <xf numFmtId="0" fontId="21" fillId="0" borderId="0" xfId="0" applyFont="1"/>
    <xf numFmtId="0" fontId="2" fillId="0" borderId="15" xfId="0" applyFont="1" applyBorder="1"/>
    <xf numFmtId="3" fontId="14" fillId="0" borderId="2" xfId="1" quotePrefix="1" applyNumberFormat="1" applyFont="1" applyBorder="1"/>
    <xf numFmtId="2" fontId="2" fillId="0" borderId="15" xfId="0" applyNumberFormat="1" applyFont="1" applyBorder="1" applyAlignment="1">
      <alignment horizontal="center"/>
    </xf>
    <xf numFmtId="3" fontId="7" fillId="0" borderId="20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2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2" fontId="8" fillId="6" borderId="0" xfId="0" applyNumberFormat="1" applyFont="1" applyFill="1" applyAlignment="1">
      <alignment horizontal="left"/>
    </xf>
    <xf numFmtId="2" fontId="7" fillId="6" borderId="0" xfId="0" applyNumberFormat="1" applyFont="1" applyFill="1" applyAlignment="1">
      <alignment horizontal="left"/>
    </xf>
    <xf numFmtId="0" fontId="0" fillId="4" borderId="0" xfId="0" applyFill="1"/>
    <xf numFmtId="0" fontId="9" fillId="3" borderId="2" xfId="0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14" fillId="0" borderId="10" xfId="0" applyFont="1" applyBorder="1" applyAlignment="1">
      <alignment horizontal="left" wrapText="1" indent="2"/>
    </xf>
    <xf numFmtId="0" fontId="14" fillId="0" borderId="10" xfId="0" applyFont="1" applyBorder="1"/>
    <xf numFmtId="0" fontId="14" fillId="0" borderId="19" xfId="1" applyFont="1" applyBorder="1"/>
    <xf numFmtId="0" fontId="14" fillId="0" borderId="19" xfId="1" applyFont="1" applyBorder="1" applyAlignment="1">
      <alignment horizontal="right"/>
    </xf>
    <xf numFmtId="2" fontId="7" fillId="0" borderId="9" xfId="0" applyNumberFormat="1" applyFont="1" applyBorder="1" applyAlignment="1">
      <alignment horizontal="left"/>
    </xf>
    <xf numFmtId="2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4" xfId="0" applyFont="1" applyBorder="1"/>
    <xf numFmtId="0" fontId="14" fillId="0" borderId="8" xfId="0" applyFont="1" applyBorder="1" applyAlignment="1">
      <alignment wrapText="1"/>
    </xf>
    <xf numFmtId="9" fontId="7" fillId="0" borderId="20" xfId="0" applyNumberFormat="1" applyFont="1" applyBorder="1" applyAlignment="1">
      <alignment horizontal="center"/>
    </xf>
    <xf numFmtId="0" fontId="14" fillId="0" borderId="9" xfId="1" applyFont="1" applyBorder="1" applyAlignment="1">
      <alignment horizontal="right"/>
    </xf>
    <xf numFmtId="10" fontId="15" fillId="0" borderId="2" xfId="0" applyNumberFormat="1" applyFont="1" applyBorder="1"/>
    <xf numFmtId="0" fontId="15" fillId="0" borderId="8" xfId="0" applyFont="1" applyBorder="1"/>
    <xf numFmtId="0" fontId="17" fillId="0" borderId="2" xfId="1" applyBorder="1"/>
    <xf numFmtId="0" fontId="11" fillId="0" borderId="0" xfId="0" applyFont="1" applyAlignment="1">
      <alignment horizontal="center"/>
    </xf>
    <xf numFmtId="2" fontId="14" fillId="0" borderId="0" xfId="1" applyNumberFormat="1" applyFont="1"/>
    <xf numFmtId="2" fontId="14" fillId="0" borderId="0" xfId="0" applyNumberFormat="1" applyFont="1"/>
    <xf numFmtId="3" fontId="16" fillId="0" borderId="0" xfId="1" applyNumberFormat="1" applyFont="1"/>
    <xf numFmtId="0" fontId="8" fillId="0" borderId="0" xfId="0" applyFont="1" applyAlignment="1">
      <alignment horizontal="right"/>
    </xf>
    <xf numFmtId="0" fontId="8" fillId="7" borderId="0" xfId="0" applyFont="1" applyFill="1" applyAlignment="1">
      <alignment horizontal="right"/>
    </xf>
    <xf numFmtId="3" fontId="8" fillId="7" borderId="0" xfId="0" applyNumberFormat="1" applyFont="1" applyFill="1" applyAlignment="1">
      <alignment horizontal="left"/>
    </xf>
    <xf numFmtId="0" fontId="8" fillId="7" borderId="0" xfId="0" applyFont="1" applyFill="1"/>
    <xf numFmtId="9" fontId="7" fillId="4" borderId="0" xfId="0" applyNumberFormat="1" applyFont="1" applyFill="1" applyAlignment="1">
      <alignment horizontal="left"/>
    </xf>
    <xf numFmtId="9" fontId="8" fillId="4" borderId="0" xfId="0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1" fontId="16" fillId="0" borderId="2" xfId="1" applyNumberFormat="1" applyFont="1" applyBorder="1"/>
    <xf numFmtId="3" fontId="16" fillId="3" borderId="2" xfId="1" applyNumberFormat="1" applyFont="1" applyFill="1" applyBorder="1"/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7" fillId="8" borderId="0" xfId="0" applyFont="1" applyFill="1"/>
    <xf numFmtId="3" fontId="16" fillId="0" borderId="22" xfId="1" applyNumberFormat="1" applyFont="1" applyBorder="1"/>
    <xf numFmtId="3" fontId="16" fillId="0" borderId="23" xfId="1" applyNumberFormat="1" applyFont="1" applyBorder="1"/>
    <xf numFmtId="3" fontId="16" fillId="9" borderId="22" xfId="1" applyNumberFormat="1" applyFont="1" applyFill="1" applyBorder="1"/>
    <xf numFmtId="3" fontId="16" fillId="9" borderId="23" xfId="1" applyNumberFormat="1" applyFont="1" applyFill="1" applyBorder="1"/>
    <xf numFmtId="3" fontId="16" fillId="9" borderId="16" xfId="1" applyNumberFormat="1" applyFont="1" applyFill="1" applyBorder="1"/>
    <xf numFmtId="3" fontId="15" fillId="0" borderId="18" xfId="1" applyNumberFormat="1" applyFont="1" applyBorder="1"/>
    <xf numFmtId="0" fontId="7" fillId="3" borderId="22" xfId="0" applyFont="1" applyFill="1" applyBorder="1"/>
    <xf numFmtId="0" fontId="0" fillId="0" borderId="16" xfId="0" applyBorder="1"/>
    <xf numFmtId="0" fontId="7" fillId="3" borderId="3" xfId="0" applyFont="1" applyFill="1" applyBorder="1"/>
    <xf numFmtId="0" fontId="0" fillId="0" borderId="24" xfId="0" applyBorder="1"/>
    <xf numFmtId="0" fontId="7" fillId="0" borderId="0" xfId="0" applyFont="1" applyAlignment="1">
      <alignment horizontal="left" wrapText="1"/>
    </xf>
  </cellXfs>
  <cellStyles count="2">
    <cellStyle name="Normal" xfId="0" builtinId="0"/>
    <cellStyle name="Normal_DrainageDesign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cra.org/Documents%20and%20Settings/thegemie/Local%20Settings/Temp/HL%20design%20spreadsheet,%20Er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QV"/>
      <sheetName val="MasterTables"/>
    </sheetNames>
    <sheetDataSet>
      <sheetData sheetId="0"/>
      <sheetData sheetId="1">
        <row r="3">
          <cell r="C3" t="str">
            <v>Vegetated Strip</v>
          </cell>
        </row>
        <row r="4">
          <cell r="C4" t="str">
            <v>Sand Filter</v>
          </cell>
        </row>
        <row r="5">
          <cell r="C5" t="str">
            <v>Bioretention</v>
          </cell>
        </row>
        <row r="6">
          <cell r="C6" t="str">
            <v>Infiltration Trench/Basin</v>
          </cell>
        </row>
        <row r="7">
          <cell r="C7" t="str">
            <v>Retention/Irrigation</v>
          </cell>
        </row>
        <row r="8">
          <cell r="C8" t="str">
            <v>Extended Detention Pond</v>
          </cell>
        </row>
        <row r="9">
          <cell r="C9" t="str">
            <v>Wet Pond</v>
          </cell>
        </row>
        <row r="14">
          <cell r="C14" t="str">
            <v>Upgradient Natural Vegetative Filter Strip</v>
          </cell>
        </row>
        <row r="15">
          <cell r="C15" t="str">
            <v>Upgradient Engineered Vegetative Filter Strip</v>
          </cell>
        </row>
        <row r="16">
          <cell r="C16" t="str">
            <v>Upgradient Vegetated Infiltration Strip</v>
          </cell>
        </row>
        <row r="17">
          <cell r="C17" t="str">
            <v>Downgradient Natural Vegetative Filter Strip</v>
          </cell>
        </row>
        <row r="18">
          <cell r="C18" t="str">
            <v>Downgradient Engineered Vegetative Filter Strip</v>
          </cell>
        </row>
        <row r="19">
          <cell r="C19" t="str">
            <v>Downgradient Vegetated Infiltration Strip</v>
          </cell>
        </row>
        <row r="20">
          <cell r="C20" t="str">
            <v>Downgradient Infiltration Basin</v>
          </cell>
        </row>
        <row r="21">
          <cell r="C21" t="str">
            <v>Downgradient Infiltration Trench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zoomScaleNormal="100" workbookViewId="0">
      <selection activeCell="I2" sqref="I2"/>
    </sheetView>
  </sheetViews>
  <sheetFormatPr defaultRowHeight="12.75" x14ac:dyDescent="0.2"/>
  <cols>
    <col min="1" max="1" width="14.28515625" customWidth="1"/>
    <col min="2" max="2" width="15.7109375" customWidth="1"/>
    <col min="3" max="3" width="10.5703125" bestFit="1" customWidth="1"/>
    <col min="12" max="12" width="61.85546875" customWidth="1"/>
  </cols>
  <sheetData>
    <row r="1" spans="1:11" ht="15" x14ac:dyDescent="0.25">
      <c r="A1" s="115" t="s">
        <v>0</v>
      </c>
      <c r="B1" s="116"/>
      <c r="C1" s="116"/>
      <c r="D1" s="116"/>
      <c r="E1" s="117"/>
      <c r="F1" s="117"/>
      <c r="I1" s="64" t="s">
        <v>347</v>
      </c>
      <c r="J1" s="64"/>
    </row>
    <row r="2" spans="1:11" ht="15" x14ac:dyDescent="0.25">
      <c r="A2" s="44"/>
      <c r="B2" s="28"/>
      <c r="C2" s="28"/>
      <c r="D2" s="28"/>
      <c r="E2" s="30"/>
      <c r="F2" s="30"/>
    </row>
    <row r="3" spans="1:11" ht="15" x14ac:dyDescent="0.25">
      <c r="A3" s="115" t="s">
        <v>2</v>
      </c>
      <c r="B3" s="116"/>
      <c r="C3" s="116"/>
      <c r="D3" s="116"/>
      <c r="E3" s="116"/>
      <c r="F3" s="116"/>
      <c r="G3" s="118"/>
      <c r="H3" s="118"/>
      <c r="I3" s="118"/>
    </row>
    <row r="4" spans="1:11" ht="15" x14ac:dyDescent="0.25">
      <c r="A4" s="44"/>
      <c r="B4" s="28"/>
      <c r="C4" s="28"/>
      <c r="D4" s="28"/>
      <c r="E4" s="28"/>
      <c r="F4" s="28"/>
    </row>
    <row r="5" spans="1:11" ht="15" customHeight="1" x14ac:dyDescent="0.35">
      <c r="A5" s="136" t="s">
        <v>3</v>
      </c>
      <c r="B5" s="137"/>
      <c r="C5" s="28"/>
      <c r="D5" s="140"/>
      <c r="E5" s="28"/>
      <c r="F5" s="28"/>
    </row>
    <row r="6" spans="1:11" x14ac:dyDescent="0.2">
      <c r="A6" s="71"/>
      <c r="B6" s="28"/>
      <c r="C6" s="28"/>
      <c r="D6" s="28"/>
      <c r="E6" s="28"/>
      <c r="F6" s="28"/>
    </row>
    <row r="7" spans="1:11" x14ac:dyDescent="0.2">
      <c r="A7" s="71" t="s">
        <v>4</v>
      </c>
      <c r="B7" s="28"/>
      <c r="C7" s="28"/>
      <c r="D7" s="28"/>
      <c r="E7" s="28"/>
      <c r="F7" s="28"/>
    </row>
    <row r="8" spans="1:11" x14ac:dyDescent="0.2">
      <c r="A8" s="71" t="s">
        <v>5</v>
      </c>
      <c r="B8" s="28"/>
      <c r="C8" s="28"/>
      <c r="D8" s="28"/>
      <c r="E8" s="28"/>
      <c r="F8" s="28"/>
    </row>
    <row r="9" spans="1:11" x14ac:dyDescent="0.2">
      <c r="A9" s="71"/>
      <c r="B9" s="28"/>
      <c r="C9" s="28"/>
      <c r="D9" s="28"/>
      <c r="E9" s="28"/>
      <c r="F9" s="28"/>
    </row>
    <row r="10" spans="1:11" x14ac:dyDescent="0.2">
      <c r="A10" s="75" t="s">
        <v>6</v>
      </c>
      <c r="B10" s="198" t="s">
        <v>7</v>
      </c>
      <c r="C10" s="199"/>
      <c r="D10" s="28"/>
      <c r="E10" s="28"/>
      <c r="F10" s="28"/>
      <c r="K10" t="s">
        <v>8</v>
      </c>
    </row>
    <row r="11" spans="1:11" x14ac:dyDescent="0.2">
      <c r="A11" s="161" t="s">
        <v>9</v>
      </c>
      <c r="B11" s="169" t="s">
        <v>10</v>
      </c>
      <c r="C11" s="76" t="s">
        <v>11</v>
      </c>
      <c r="D11" s="133">
        <v>1</v>
      </c>
      <c r="E11" s="133">
        <v>2</v>
      </c>
      <c r="F11" s="133">
        <v>3</v>
      </c>
      <c r="G11" s="133">
        <v>4</v>
      </c>
      <c r="H11" s="134" t="s">
        <v>12</v>
      </c>
    </row>
    <row r="12" spans="1:11" x14ac:dyDescent="0.2">
      <c r="A12" s="170"/>
      <c r="B12" s="89" t="s">
        <v>13</v>
      </c>
      <c r="C12" s="76" t="s">
        <v>14</v>
      </c>
      <c r="D12" s="78"/>
      <c r="E12" s="78"/>
      <c r="F12" s="78"/>
      <c r="G12" s="78"/>
      <c r="H12" s="84">
        <f>SUM(D12:G12)</f>
        <v>0</v>
      </c>
    </row>
    <row r="13" spans="1:11" x14ac:dyDescent="0.2">
      <c r="B13" s="72"/>
      <c r="C13" s="28"/>
      <c r="D13" s="28"/>
      <c r="E13" s="28"/>
      <c r="F13" s="28"/>
    </row>
    <row r="14" spans="1:11" x14ac:dyDescent="0.2">
      <c r="A14" s="62" t="s">
        <v>15</v>
      </c>
      <c r="B14" s="82"/>
      <c r="C14" s="58"/>
      <c r="D14" s="58"/>
      <c r="E14" s="58"/>
      <c r="F14" s="58"/>
      <c r="G14" s="65"/>
      <c r="H14" s="65"/>
    </row>
    <row r="15" spans="1:11" x14ac:dyDescent="0.2">
      <c r="A15" s="1"/>
      <c r="B15" s="72"/>
      <c r="C15" s="28"/>
      <c r="D15" s="28"/>
      <c r="E15" s="28"/>
      <c r="F15" s="28"/>
    </row>
    <row r="16" spans="1:11" x14ac:dyDescent="0.2">
      <c r="A16" s="76" t="s">
        <v>16</v>
      </c>
      <c r="B16" s="88" t="s">
        <v>17</v>
      </c>
      <c r="C16" s="28"/>
      <c r="F16" s="28"/>
    </row>
    <row r="17" spans="1:13" ht="15" x14ac:dyDescent="0.25">
      <c r="A17" s="44"/>
      <c r="B17" s="76" t="s">
        <v>18</v>
      </c>
      <c r="C17" s="77" t="s">
        <v>19</v>
      </c>
      <c r="D17" s="79"/>
      <c r="E17" s="79"/>
      <c r="F17" s="79"/>
      <c r="G17" s="79"/>
    </row>
    <row r="18" spans="1:13" ht="15" x14ac:dyDescent="0.25">
      <c r="A18" s="44"/>
      <c r="B18" s="76" t="s">
        <v>20</v>
      </c>
      <c r="C18" s="77" t="s">
        <v>19</v>
      </c>
      <c r="D18" s="79"/>
      <c r="E18" s="79"/>
      <c r="F18" s="79"/>
      <c r="G18" s="79"/>
    </row>
    <row r="19" spans="1:13" ht="15" x14ac:dyDescent="0.25">
      <c r="A19" s="44"/>
      <c r="B19" s="88" t="s">
        <v>21</v>
      </c>
      <c r="C19" s="28"/>
      <c r="D19" s="28"/>
      <c r="E19" s="28"/>
      <c r="F19" s="28"/>
      <c r="G19" s="28"/>
    </row>
    <row r="20" spans="1:13" ht="15" x14ac:dyDescent="0.25">
      <c r="A20" s="44"/>
      <c r="B20" s="76" t="s">
        <v>18</v>
      </c>
      <c r="C20" s="77" t="s">
        <v>19</v>
      </c>
      <c r="D20" s="79"/>
      <c r="E20" s="79"/>
      <c r="F20" s="79"/>
      <c r="G20" s="79"/>
    </row>
    <row r="21" spans="1:13" x14ac:dyDescent="0.2">
      <c r="B21" s="76" t="s">
        <v>20</v>
      </c>
      <c r="C21" s="77" t="s">
        <v>19</v>
      </c>
      <c r="D21" s="79"/>
      <c r="E21" s="79"/>
      <c r="F21" s="79"/>
      <c r="G21" s="79"/>
      <c r="I21" t="s">
        <v>8</v>
      </c>
    </row>
    <row r="22" spans="1:13" ht="15" x14ac:dyDescent="0.25">
      <c r="A22" s="44"/>
      <c r="B22" s="88" t="s">
        <v>22</v>
      </c>
      <c r="C22" s="28"/>
      <c r="D22" s="28"/>
      <c r="E22" s="28"/>
      <c r="F22" s="28"/>
      <c r="G22" s="28"/>
    </row>
    <row r="23" spans="1:13" ht="15" x14ac:dyDescent="0.25">
      <c r="A23" s="44"/>
      <c r="B23" s="76" t="s">
        <v>18</v>
      </c>
      <c r="C23" s="77" t="s">
        <v>19</v>
      </c>
      <c r="D23" s="79"/>
      <c r="E23" s="79"/>
      <c r="F23" s="79"/>
      <c r="G23" s="79"/>
    </row>
    <row r="24" spans="1:13" x14ac:dyDescent="0.2">
      <c r="B24" s="76" t="s">
        <v>20</v>
      </c>
      <c r="C24" s="77" t="s">
        <v>19</v>
      </c>
      <c r="D24" s="79"/>
      <c r="E24" s="79"/>
      <c r="F24" s="79"/>
      <c r="G24" s="79"/>
    </row>
    <row r="26" spans="1:13" x14ac:dyDescent="0.2">
      <c r="A26" s="71"/>
      <c r="B26" s="76" t="s">
        <v>23</v>
      </c>
      <c r="C26" s="77" t="s">
        <v>24</v>
      </c>
      <c r="D26" s="84">
        <f>(D17*D18)/43560</f>
        <v>0</v>
      </c>
      <c r="E26" s="84">
        <f>(E17*E18)/43560</f>
        <v>0</v>
      </c>
      <c r="F26" s="84">
        <f>(F17*F18)/43560</f>
        <v>0</v>
      </c>
      <c r="G26" s="84">
        <f>(G17*G18)/43560</f>
        <v>0</v>
      </c>
      <c r="H26" s="84">
        <f>SUM(D26:G26)</f>
        <v>0</v>
      </c>
      <c r="I26" s="72"/>
      <c r="J26" s="72"/>
      <c r="K26" s="72"/>
      <c r="L26" s="72"/>
      <c r="M26" s="72"/>
    </row>
    <row r="27" spans="1:13" x14ac:dyDescent="0.2">
      <c r="B27" s="76" t="s">
        <v>25</v>
      </c>
      <c r="C27" s="77" t="s">
        <v>24</v>
      </c>
      <c r="D27" s="84">
        <f>(D20*D21)/43560</f>
        <v>0</v>
      </c>
      <c r="E27" s="84">
        <f>(E20*E21)/43560</f>
        <v>0</v>
      </c>
      <c r="F27" s="84">
        <f>(F20*F21)/43560</f>
        <v>0</v>
      </c>
      <c r="G27" s="84">
        <f>(G20*G21)/43560</f>
        <v>0</v>
      </c>
      <c r="H27" s="84">
        <f>SUM(D27:G27)</f>
        <v>0</v>
      </c>
      <c r="I27" s="73"/>
      <c r="J27" s="72"/>
      <c r="K27" s="72"/>
      <c r="L27" s="72"/>
      <c r="M27" s="72"/>
    </row>
    <row r="28" spans="1:13" x14ac:dyDescent="0.2">
      <c r="B28" s="76" t="s">
        <v>26</v>
      </c>
      <c r="C28" s="77" t="s">
        <v>24</v>
      </c>
      <c r="D28" s="84">
        <f>(D23*D24)/43560</f>
        <v>0</v>
      </c>
      <c r="E28" s="84">
        <f>(E23*E24)/43560</f>
        <v>0</v>
      </c>
      <c r="F28" s="84">
        <f>(F23*F24)/43560</f>
        <v>0</v>
      </c>
      <c r="G28" s="84">
        <f>(G23*G24)/43560</f>
        <v>0</v>
      </c>
      <c r="H28" s="84">
        <f>SUM(D28:G28)</f>
        <v>0</v>
      </c>
      <c r="I28" s="73"/>
      <c r="J28" s="72"/>
      <c r="K28" s="72"/>
      <c r="L28" s="72"/>
      <c r="M28" s="72"/>
    </row>
    <row r="29" spans="1:13" x14ac:dyDescent="0.2">
      <c r="A29" s="71" t="s">
        <v>27</v>
      </c>
      <c r="B29" s="76" t="s">
        <v>28</v>
      </c>
      <c r="C29" s="77" t="s">
        <v>24</v>
      </c>
      <c r="D29" s="84">
        <f>D26+D27+D28</f>
        <v>0</v>
      </c>
      <c r="E29" s="84">
        <f>E26+E27+E28</f>
        <v>0</v>
      </c>
      <c r="F29" s="84">
        <f>F26+F27+F28</f>
        <v>0</v>
      </c>
      <c r="G29" s="84">
        <f>G26+G27+G28</f>
        <v>0</v>
      </c>
      <c r="H29" s="84">
        <f>SUM(D29:G29)</f>
        <v>0</v>
      </c>
      <c r="I29" s="73"/>
      <c r="J29" s="72"/>
      <c r="K29" s="72"/>
      <c r="L29" s="72"/>
      <c r="M29" s="72"/>
    </row>
    <row r="30" spans="1:13" x14ac:dyDescent="0.2">
      <c r="A30" s="74"/>
      <c r="B30" s="72"/>
      <c r="C30" s="72"/>
      <c r="D30" s="72"/>
      <c r="E30" s="72"/>
      <c r="F30" s="72"/>
      <c r="G30" s="73"/>
      <c r="H30" s="72"/>
      <c r="I30" s="73"/>
      <c r="J30" s="72"/>
      <c r="K30" s="72"/>
      <c r="L30" s="72"/>
      <c r="M30" s="72"/>
    </row>
    <row r="31" spans="1:13" x14ac:dyDescent="0.2">
      <c r="A31" s="76" t="s">
        <v>29</v>
      </c>
      <c r="B31" s="71" t="s">
        <v>30</v>
      </c>
      <c r="C31" s="72"/>
      <c r="D31" s="72"/>
      <c r="E31" s="72"/>
      <c r="F31" s="72"/>
      <c r="G31" s="73"/>
      <c r="H31" s="72"/>
      <c r="I31" s="73"/>
      <c r="J31" s="72"/>
      <c r="K31" s="72"/>
      <c r="L31" s="72"/>
      <c r="M31" s="72"/>
    </row>
    <row r="32" spans="1:13" x14ac:dyDescent="0.2">
      <c r="A32" s="74"/>
      <c r="C32" s="72"/>
      <c r="D32" s="72"/>
      <c r="E32" s="72"/>
      <c r="F32" s="72"/>
      <c r="G32" s="73"/>
      <c r="H32" s="72"/>
      <c r="I32" s="73"/>
      <c r="J32" s="72"/>
      <c r="K32" s="72"/>
      <c r="L32" s="72"/>
      <c r="M32" s="72"/>
    </row>
    <row r="33" spans="1:13" x14ac:dyDescent="0.2">
      <c r="A33" s="74"/>
      <c r="B33" s="76" t="s">
        <v>31</v>
      </c>
      <c r="C33" s="77" t="s">
        <v>32</v>
      </c>
      <c r="D33" s="79"/>
      <c r="E33" s="79"/>
      <c r="F33" s="79"/>
      <c r="G33" s="79"/>
      <c r="H33" s="77">
        <f t="shared" ref="H33:H44" si="0">SUM(D33:G33)</f>
        <v>0</v>
      </c>
      <c r="I33" s="73"/>
      <c r="J33" s="72"/>
      <c r="K33" s="72"/>
      <c r="L33" s="72"/>
      <c r="M33" s="72"/>
    </row>
    <row r="34" spans="1:13" x14ac:dyDescent="0.2">
      <c r="A34" s="74"/>
      <c r="B34" s="76" t="s">
        <v>33</v>
      </c>
      <c r="C34" s="77" t="s">
        <v>24</v>
      </c>
      <c r="D34" s="84">
        <f>D33*10000/43560</f>
        <v>0</v>
      </c>
      <c r="E34" s="84">
        <f>E33*10000/43560</f>
        <v>0</v>
      </c>
      <c r="F34" s="84">
        <f>F33*10000/43560</f>
        <v>0</v>
      </c>
      <c r="G34" s="84">
        <f>G33*10000/43560</f>
        <v>0</v>
      </c>
      <c r="H34" s="84">
        <f t="shared" si="0"/>
        <v>0</v>
      </c>
      <c r="I34" s="73"/>
      <c r="J34" s="72"/>
      <c r="K34" s="72"/>
      <c r="L34" s="72"/>
      <c r="M34" s="72"/>
    </row>
    <row r="35" spans="1:13" x14ac:dyDescent="0.2">
      <c r="A35" s="74"/>
      <c r="B35" s="76" t="s">
        <v>34</v>
      </c>
      <c r="C35" s="77" t="s">
        <v>32</v>
      </c>
      <c r="D35" s="79"/>
      <c r="E35" s="79"/>
      <c r="F35" s="79"/>
      <c r="G35" s="79"/>
      <c r="H35" s="77">
        <f t="shared" si="0"/>
        <v>0</v>
      </c>
      <c r="I35" s="73"/>
      <c r="J35" s="72"/>
      <c r="K35" s="72"/>
      <c r="L35" s="72"/>
      <c r="M35" s="72"/>
    </row>
    <row r="36" spans="1:13" x14ac:dyDescent="0.2">
      <c r="A36" s="74"/>
      <c r="B36" s="76" t="s">
        <v>35</v>
      </c>
      <c r="C36" s="77" t="s">
        <v>24</v>
      </c>
      <c r="D36" s="84">
        <f>D35*7000/43560</f>
        <v>0</v>
      </c>
      <c r="E36" s="84">
        <f>E35*7000/43560</f>
        <v>0</v>
      </c>
      <c r="F36" s="84">
        <f>F35*7000/43560</f>
        <v>0</v>
      </c>
      <c r="G36" s="84">
        <f>G35*7000/43560</f>
        <v>0</v>
      </c>
      <c r="H36" s="84">
        <f t="shared" si="0"/>
        <v>0</v>
      </c>
      <c r="I36" s="73"/>
      <c r="J36" s="72"/>
      <c r="K36" s="72"/>
      <c r="L36" s="72"/>
      <c r="M36" s="72"/>
    </row>
    <row r="37" spans="1:13" x14ac:dyDescent="0.2">
      <c r="B37" s="76" t="s">
        <v>36</v>
      </c>
      <c r="C37" s="77" t="s">
        <v>32</v>
      </c>
      <c r="D37" s="79"/>
      <c r="E37" s="79"/>
      <c r="F37" s="79"/>
      <c r="G37" s="79"/>
      <c r="H37" s="77">
        <f t="shared" si="0"/>
        <v>0</v>
      </c>
      <c r="L37" s="72"/>
      <c r="M37" s="72"/>
    </row>
    <row r="38" spans="1:13" x14ac:dyDescent="0.2">
      <c r="B38" s="76" t="s">
        <v>37</v>
      </c>
      <c r="C38" s="77" t="s">
        <v>24</v>
      </c>
      <c r="D38" s="84">
        <f>D37*5000/43560</f>
        <v>0</v>
      </c>
      <c r="E38" s="84">
        <f>E37*5000/43560</f>
        <v>0</v>
      </c>
      <c r="F38" s="84">
        <f>F37*5000/43560</f>
        <v>0</v>
      </c>
      <c r="G38" s="84">
        <f>G37*5000/43560</f>
        <v>0</v>
      </c>
      <c r="H38" s="84">
        <f t="shared" si="0"/>
        <v>0</v>
      </c>
      <c r="L38" s="72"/>
      <c r="M38" s="72"/>
    </row>
    <row r="39" spans="1:13" x14ac:dyDescent="0.2">
      <c r="A39" s="71"/>
      <c r="B39" s="76" t="s">
        <v>38</v>
      </c>
      <c r="C39" s="77" t="s">
        <v>32</v>
      </c>
      <c r="D39" s="79"/>
      <c r="E39" s="79"/>
      <c r="F39" s="79"/>
      <c r="G39" s="79"/>
      <c r="H39" s="77">
        <f t="shared" si="0"/>
        <v>0</v>
      </c>
      <c r="I39" s="72"/>
      <c r="J39" s="72"/>
      <c r="K39" s="72"/>
      <c r="L39" s="72"/>
      <c r="M39" s="72"/>
    </row>
    <row r="40" spans="1:13" x14ac:dyDescent="0.2">
      <c r="A40" s="71"/>
      <c r="B40" s="76" t="s">
        <v>39</v>
      </c>
      <c r="C40" s="77" t="s">
        <v>24</v>
      </c>
      <c r="D40" s="84">
        <f>D39*3500/43560</f>
        <v>0</v>
      </c>
      <c r="E40" s="84">
        <f>E39*3500/43560</f>
        <v>0</v>
      </c>
      <c r="F40" s="84">
        <f>F39*3500/43560</f>
        <v>0</v>
      </c>
      <c r="G40" s="84">
        <f>G39*3500/43560</f>
        <v>0</v>
      </c>
      <c r="H40" s="84">
        <f t="shared" si="0"/>
        <v>0</v>
      </c>
      <c r="I40" s="72"/>
      <c r="J40" s="72"/>
      <c r="K40" s="72"/>
      <c r="L40" s="72"/>
      <c r="M40" s="72"/>
    </row>
    <row r="41" spans="1:13" x14ac:dyDescent="0.2">
      <c r="A41" s="71"/>
      <c r="B41" s="76" t="s">
        <v>40</v>
      </c>
      <c r="C41" s="77" t="s">
        <v>32</v>
      </c>
      <c r="D41" s="79"/>
      <c r="E41" s="79"/>
      <c r="F41" s="79"/>
      <c r="G41" s="79"/>
      <c r="H41" s="77">
        <f t="shared" si="0"/>
        <v>0</v>
      </c>
      <c r="I41" s="72"/>
      <c r="J41" s="72"/>
      <c r="K41" s="72"/>
      <c r="L41" s="72"/>
      <c r="M41" s="72"/>
    </row>
    <row r="42" spans="1:13" x14ac:dyDescent="0.2">
      <c r="A42" s="71"/>
      <c r="B42" s="76" t="s">
        <v>41</v>
      </c>
      <c r="C42" s="77" t="s">
        <v>24</v>
      </c>
      <c r="D42" s="84">
        <f>D41*2500/43560</f>
        <v>0</v>
      </c>
      <c r="E42" s="84">
        <f>E41*2500/43560</f>
        <v>0</v>
      </c>
      <c r="F42" s="84">
        <f>F41*2500/43560</f>
        <v>0</v>
      </c>
      <c r="G42" s="84">
        <f>G41*2500/43560</f>
        <v>0</v>
      </c>
      <c r="H42" s="84">
        <f t="shared" si="0"/>
        <v>0</v>
      </c>
      <c r="I42" s="72"/>
      <c r="J42" s="72"/>
      <c r="K42" s="72"/>
      <c r="L42" s="72"/>
      <c r="M42" s="72"/>
    </row>
    <row r="43" spans="1:13" x14ac:dyDescent="0.2">
      <c r="A43" s="71"/>
      <c r="B43" s="76" t="s">
        <v>42</v>
      </c>
      <c r="C43" s="77" t="s">
        <v>32</v>
      </c>
      <c r="D43" s="79"/>
      <c r="E43" s="79"/>
      <c r="F43" s="79"/>
      <c r="G43" s="79"/>
      <c r="H43" s="77">
        <f t="shared" si="0"/>
        <v>0</v>
      </c>
      <c r="I43" s="72"/>
      <c r="J43" s="72"/>
      <c r="K43" s="72"/>
      <c r="L43" s="72"/>
      <c r="M43" s="72"/>
    </row>
    <row r="44" spans="1:13" x14ac:dyDescent="0.2">
      <c r="A44" s="71"/>
      <c r="B44" s="76" t="s">
        <v>43</v>
      </c>
      <c r="C44" s="77" t="s">
        <v>24</v>
      </c>
      <c r="D44" s="84">
        <f>D43*2000/43560</f>
        <v>0</v>
      </c>
      <c r="E44" s="84">
        <f>E43*2000/43560</f>
        <v>0</v>
      </c>
      <c r="F44" s="84">
        <f>F43*2000/43560</f>
        <v>0</v>
      </c>
      <c r="G44" s="84">
        <f>G43*2000/43560</f>
        <v>0</v>
      </c>
      <c r="H44" s="84">
        <f t="shared" si="0"/>
        <v>0</v>
      </c>
      <c r="I44" s="72"/>
      <c r="J44" s="72"/>
      <c r="K44" s="72"/>
      <c r="L44" s="72"/>
      <c r="M44" s="72"/>
    </row>
    <row r="45" spans="1:13" x14ac:dyDescent="0.2">
      <c r="A45" s="71"/>
      <c r="B45" s="71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1:13" x14ac:dyDescent="0.2">
      <c r="A46" s="71" t="s">
        <v>44</v>
      </c>
      <c r="B46" s="76" t="s">
        <v>45</v>
      </c>
      <c r="C46" s="77" t="s">
        <v>24</v>
      </c>
      <c r="D46" s="84">
        <f>D34+D36+D38+D40+D42+D44</f>
        <v>0</v>
      </c>
      <c r="E46" s="84">
        <f>E34+E36+E38+E40+E42+E44</f>
        <v>0</v>
      </c>
      <c r="F46" s="84">
        <f>F34+F36+F38+F40+F42+F44</f>
        <v>0</v>
      </c>
      <c r="G46" s="84">
        <f>G34+G36+G38+G40+G42+G44</f>
        <v>0</v>
      </c>
      <c r="H46" s="84">
        <f>SUM(D46:G46)</f>
        <v>0</v>
      </c>
      <c r="I46" s="72"/>
      <c r="J46" s="72"/>
      <c r="K46" s="72"/>
      <c r="L46" s="72"/>
      <c r="M46" s="72"/>
    </row>
    <row r="47" spans="1:13" x14ac:dyDescent="0.2">
      <c r="A47" s="71"/>
      <c r="B47" s="71"/>
      <c r="C47" s="72"/>
      <c r="D47" s="87"/>
      <c r="E47" s="87"/>
      <c r="F47" s="87"/>
      <c r="G47" s="87"/>
      <c r="H47" s="87"/>
      <c r="I47" s="72" t="s">
        <v>8</v>
      </c>
      <c r="J47" s="72"/>
      <c r="K47" s="72"/>
      <c r="L47" s="72"/>
      <c r="M47" s="72"/>
    </row>
    <row r="48" spans="1:13" x14ac:dyDescent="0.2">
      <c r="A48" s="71" t="s">
        <v>46</v>
      </c>
      <c r="B48" s="76" t="s">
        <v>47</v>
      </c>
      <c r="C48" s="77" t="s">
        <v>24</v>
      </c>
      <c r="D48" s="79"/>
      <c r="E48" s="79"/>
      <c r="F48" s="79"/>
      <c r="G48" s="79"/>
      <c r="H48" s="84">
        <f>SUM(D48:G48)</f>
        <v>0</v>
      </c>
      <c r="I48" s="72"/>
      <c r="J48" s="72"/>
      <c r="K48" s="72"/>
      <c r="L48" s="72"/>
      <c r="M48" s="72"/>
    </row>
    <row r="49" spans="1:13" x14ac:dyDescent="0.2">
      <c r="A49" s="71"/>
      <c r="B49" s="71"/>
      <c r="C49" s="72"/>
      <c r="D49" s="87"/>
      <c r="E49" s="87"/>
      <c r="F49" s="87"/>
      <c r="G49" s="87"/>
      <c r="H49" s="87"/>
      <c r="I49" s="72"/>
      <c r="J49" s="72"/>
      <c r="K49" s="72"/>
      <c r="L49" s="72"/>
      <c r="M49" s="72"/>
    </row>
    <row r="50" spans="1:13" x14ac:dyDescent="0.2">
      <c r="A50" s="71" t="s">
        <v>48</v>
      </c>
      <c r="B50" s="76" t="s">
        <v>47</v>
      </c>
      <c r="C50" s="77" t="s">
        <v>24</v>
      </c>
      <c r="D50" s="79"/>
      <c r="E50" s="79"/>
      <c r="F50" s="79"/>
      <c r="G50" s="79"/>
      <c r="H50" s="84">
        <f>SUM(D50:G50)</f>
        <v>0</v>
      </c>
      <c r="I50" s="72"/>
      <c r="J50" s="72"/>
      <c r="K50" s="72"/>
      <c r="L50" s="72"/>
      <c r="M50" s="72"/>
    </row>
    <row r="51" spans="1:13" x14ac:dyDescent="0.2">
      <c r="A51" s="71"/>
      <c r="B51" s="71"/>
      <c r="C51" s="72"/>
      <c r="D51" s="87"/>
      <c r="E51" s="87"/>
      <c r="F51" s="87"/>
      <c r="G51" s="87"/>
      <c r="H51" s="87"/>
      <c r="I51" s="72"/>
      <c r="J51" s="72"/>
      <c r="K51" s="72"/>
      <c r="L51" s="72"/>
      <c r="M51" s="72"/>
    </row>
    <row r="52" spans="1:13" x14ac:dyDescent="0.2">
      <c r="A52" s="71"/>
      <c r="B52" s="72"/>
      <c r="C52" s="76" t="s">
        <v>11</v>
      </c>
      <c r="D52" s="112">
        <f>D11</f>
        <v>1</v>
      </c>
      <c r="E52" s="112">
        <f>E11</f>
        <v>2</v>
      </c>
      <c r="F52" s="112">
        <f>F11</f>
        <v>3</v>
      </c>
      <c r="G52" s="112">
        <f>G11</f>
        <v>4</v>
      </c>
      <c r="H52" s="134" t="s">
        <v>12</v>
      </c>
      <c r="I52" s="72"/>
      <c r="J52" s="72" t="s">
        <v>8</v>
      </c>
      <c r="K52" s="72"/>
      <c r="L52" s="72"/>
      <c r="M52" s="72"/>
    </row>
    <row r="53" spans="1:13" x14ac:dyDescent="0.2">
      <c r="A53" s="76" t="s">
        <v>49</v>
      </c>
      <c r="B53" s="76"/>
      <c r="C53" s="77" t="s">
        <v>24</v>
      </c>
      <c r="D53" s="84">
        <f>D29+D46+D48+D50</f>
        <v>0</v>
      </c>
      <c r="E53" s="84">
        <f>E29+E46+E48+E50</f>
        <v>0</v>
      </c>
      <c r="F53" s="84">
        <f>F29+F46+F48+F50</f>
        <v>0</v>
      </c>
      <c r="G53" s="84">
        <f>G29+G46+G48+G50</f>
        <v>0</v>
      </c>
      <c r="H53" s="84">
        <f>SUM(D53:G53)</f>
        <v>0</v>
      </c>
      <c r="I53" s="72"/>
      <c r="J53" s="72"/>
      <c r="K53" s="72"/>
      <c r="L53" s="72"/>
      <c r="M53" s="72"/>
    </row>
    <row r="54" spans="1:13" x14ac:dyDescent="0.2">
      <c r="A54" s="71"/>
      <c r="B54" s="71"/>
      <c r="C54" s="72"/>
      <c r="D54" s="87"/>
      <c r="E54" s="87"/>
      <c r="F54" s="87"/>
      <c r="G54" s="87"/>
      <c r="H54" s="87"/>
      <c r="I54" s="72"/>
      <c r="J54" s="72"/>
      <c r="K54" s="72"/>
      <c r="L54" s="72"/>
      <c r="M54" s="72"/>
    </row>
    <row r="55" spans="1:13" x14ac:dyDescent="0.2">
      <c r="A55" s="81" t="s">
        <v>50</v>
      </c>
      <c r="B55" s="81"/>
      <c r="C55" s="82"/>
      <c r="D55" s="113"/>
      <c r="E55" s="113"/>
      <c r="F55" s="82"/>
      <c r="G55" s="82"/>
      <c r="H55" s="113"/>
      <c r="I55" s="82"/>
      <c r="J55" s="72"/>
      <c r="K55" s="72"/>
      <c r="L55" s="72"/>
      <c r="M55" s="72"/>
    </row>
    <row r="56" spans="1:13" x14ac:dyDescent="0.2">
      <c r="A56" s="71"/>
      <c r="B56" s="71"/>
      <c r="C56" s="72"/>
      <c r="D56" s="87"/>
      <c r="E56" s="87"/>
      <c r="F56" s="72"/>
      <c r="G56" s="72"/>
      <c r="H56" s="87"/>
      <c r="I56" s="72"/>
      <c r="J56" s="72"/>
      <c r="K56" s="72"/>
      <c r="L56" s="72"/>
      <c r="M56" s="72"/>
    </row>
    <row r="57" spans="1:13" x14ac:dyDescent="0.2">
      <c r="A57" s="71" t="s">
        <v>51</v>
      </c>
      <c r="B57" s="71"/>
      <c r="C57" s="72"/>
      <c r="D57" s="87"/>
      <c r="E57" s="87"/>
      <c r="F57" s="72"/>
      <c r="G57" s="72"/>
      <c r="H57" s="87"/>
      <c r="I57" s="72"/>
      <c r="J57" s="72"/>
      <c r="K57" s="72"/>
      <c r="L57" s="72"/>
      <c r="M57" s="72"/>
    </row>
    <row r="59" spans="1:13" x14ac:dyDescent="0.2">
      <c r="A59" s="72"/>
      <c r="B59" s="89" t="s">
        <v>52</v>
      </c>
      <c r="C59" s="76" t="s">
        <v>11</v>
      </c>
      <c r="D59" s="112">
        <f t="shared" ref="D59:G60" si="1">D11</f>
        <v>1</v>
      </c>
      <c r="E59" s="112">
        <f t="shared" si="1"/>
        <v>2</v>
      </c>
      <c r="F59" s="112">
        <f t="shared" si="1"/>
        <v>3</v>
      </c>
      <c r="G59" s="112">
        <f t="shared" si="1"/>
        <v>4</v>
      </c>
      <c r="H59" s="134" t="s">
        <v>12</v>
      </c>
      <c r="I59" s="72"/>
      <c r="J59" s="72"/>
      <c r="K59" s="72"/>
    </row>
    <row r="60" spans="1:13" x14ac:dyDescent="0.2">
      <c r="A60" s="72"/>
      <c r="B60" s="86"/>
      <c r="C60" s="77" t="s">
        <v>24</v>
      </c>
      <c r="D60" s="80">
        <f t="shared" si="1"/>
        <v>0</v>
      </c>
      <c r="E60" s="80">
        <f t="shared" si="1"/>
        <v>0</v>
      </c>
      <c r="F60" s="80">
        <f t="shared" si="1"/>
        <v>0</v>
      </c>
      <c r="G60" s="80">
        <f t="shared" si="1"/>
        <v>0</v>
      </c>
      <c r="H60" s="84">
        <f>SUM(D60:G60)</f>
        <v>0</v>
      </c>
      <c r="I60" s="72"/>
      <c r="J60" s="72"/>
      <c r="K60" s="72"/>
    </row>
    <row r="61" spans="1:13" x14ac:dyDescent="0.2">
      <c r="A61" s="72"/>
      <c r="B61" s="89" t="s">
        <v>53</v>
      </c>
      <c r="C61" s="175" t="s">
        <v>54</v>
      </c>
      <c r="D61" s="173" t="e">
        <f>D53/D60</f>
        <v>#DIV/0!</v>
      </c>
      <c r="E61" s="173" t="e">
        <f>E53/E60</f>
        <v>#DIV/0!</v>
      </c>
      <c r="F61" s="173" t="e">
        <f>F53/F60</f>
        <v>#DIV/0!</v>
      </c>
      <c r="G61" s="173" t="e">
        <f>G53/G60</f>
        <v>#DIV/0!</v>
      </c>
      <c r="H61" s="72"/>
      <c r="I61" s="72"/>
      <c r="J61" s="72"/>
      <c r="K61" s="72"/>
    </row>
    <row r="62" spans="1:13" x14ac:dyDescent="0.2">
      <c r="A62" s="72"/>
      <c r="B62" s="89" t="s">
        <v>55</v>
      </c>
      <c r="C62" s="174" t="s">
        <v>56</v>
      </c>
      <c r="D62" s="78"/>
      <c r="E62" s="78"/>
      <c r="F62" s="78"/>
      <c r="G62" s="78"/>
      <c r="H62" s="72"/>
      <c r="I62" s="72"/>
      <c r="J62" s="72"/>
      <c r="K62" s="72"/>
    </row>
    <row r="63" spans="1:13" x14ac:dyDescent="0.2">
      <c r="A63" s="72"/>
      <c r="B63" s="89"/>
      <c r="C63" s="77" t="s">
        <v>57</v>
      </c>
      <c r="D63" s="78"/>
      <c r="E63" s="78"/>
      <c r="F63" s="78"/>
      <c r="G63" s="78"/>
      <c r="H63" s="72"/>
      <c r="I63" s="72"/>
      <c r="J63" s="72"/>
      <c r="K63" s="72"/>
    </row>
    <row r="64" spans="1:13" x14ac:dyDescent="0.2">
      <c r="A64" s="72"/>
      <c r="B64" s="89"/>
      <c r="C64" s="77" t="s">
        <v>58</v>
      </c>
      <c r="D64" s="78"/>
      <c r="E64" s="78"/>
      <c r="F64" s="78"/>
      <c r="G64" s="78"/>
      <c r="H64" s="72" t="s">
        <v>8</v>
      </c>
      <c r="I64" s="72"/>
      <c r="J64" s="72"/>
      <c r="K64" s="72"/>
    </row>
    <row r="65" spans="1:11" x14ac:dyDescent="0.2">
      <c r="A65" s="72"/>
      <c r="B65" s="89"/>
      <c r="C65" s="77" t="s">
        <v>59</v>
      </c>
      <c r="D65" s="84" t="e">
        <f>D62*D63/(42*D64^0.5)</f>
        <v>#DIV/0!</v>
      </c>
      <c r="E65" s="84" t="e">
        <f>E62*E63/(42*E64^0.5)</f>
        <v>#DIV/0!</v>
      </c>
      <c r="F65" s="84" t="e">
        <f>F62*F63/(42*F64^0.5)</f>
        <v>#DIV/0!</v>
      </c>
      <c r="G65" s="84" t="e">
        <f>G62*G63/(42*G64^0.5)</f>
        <v>#DIV/0!</v>
      </c>
      <c r="H65" s="72"/>
      <c r="I65" s="72"/>
      <c r="J65" s="72"/>
      <c r="K65" s="72"/>
    </row>
    <row r="66" spans="1:11" x14ac:dyDescent="0.2">
      <c r="A66" s="72"/>
      <c r="B66" s="89" t="s">
        <v>60</v>
      </c>
      <c r="C66" s="77" t="s">
        <v>56</v>
      </c>
      <c r="D66" s="78"/>
      <c r="E66" s="78"/>
      <c r="F66" s="78"/>
      <c r="G66" s="78"/>
      <c r="H66" s="72"/>
      <c r="I66" s="72"/>
      <c r="J66" s="72"/>
      <c r="K66" s="72"/>
    </row>
    <row r="67" spans="1:11" x14ac:dyDescent="0.2">
      <c r="A67" s="72"/>
      <c r="B67" s="89"/>
      <c r="C67" s="77" t="s">
        <v>57</v>
      </c>
      <c r="D67" s="78"/>
      <c r="E67" s="78"/>
      <c r="F67" s="78"/>
      <c r="G67" s="78"/>
      <c r="H67" s="72"/>
      <c r="I67" s="72"/>
      <c r="J67" s="72"/>
      <c r="K67" s="72"/>
    </row>
    <row r="68" spans="1:11" x14ac:dyDescent="0.2">
      <c r="A68" s="72"/>
      <c r="B68" s="89"/>
      <c r="C68" s="77" t="s">
        <v>58</v>
      </c>
      <c r="D68" s="78"/>
      <c r="E68" s="78"/>
      <c r="F68" s="78"/>
      <c r="G68" s="78"/>
      <c r="H68" s="72"/>
      <c r="I68" s="72"/>
      <c r="J68" s="72"/>
      <c r="K68" s="72"/>
    </row>
    <row r="69" spans="1:11" x14ac:dyDescent="0.2">
      <c r="A69" s="72"/>
      <c r="B69" s="89"/>
      <c r="C69" s="77" t="s">
        <v>59</v>
      </c>
      <c r="D69" s="84" t="e">
        <f>D66*D67/(60*D68^0.5)</f>
        <v>#DIV/0!</v>
      </c>
      <c r="E69" s="84" t="e">
        <f>E66*E67/(60*E68^0.5)</f>
        <v>#DIV/0!</v>
      </c>
      <c r="F69" s="84" t="e">
        <f>F66*F67/(60*F68^0.5)</f>
        <v>#DIV/0!</v>
      </c>
      <c r="G69" s="84" t="e">
        <f>G66*G67/(60*G68^0.5)</f>
        <v>#DIV/0!</v>
      </c>
      <c r="H69" s="72"/>
      <c r="I69" s="72"/>
      <c r="J69" s="72"/>
      <c r="K69" s="72"/>
    </row>
    <row r="70" spans="1:11" x14ac:dyDescent="0.2">
      <c r="A70" s="72"/>
      <c r="B70" s="89" t="s">
        <v>61</v>
      </c>
      <c r="C70" s="77" t="s">
        <v>56</v>
      </c>
      <c r="D70" s="78"/>
      <c r="E70" s="78"/>
      <c r="F70" s="78"/>
      <c r="G70" s="78"/>
      <c r="H70" s="72"/>
      <c r="I70" s="72"/>
      <c r="J70" s="72"/>
      <c r="K70" s="72"/>
    </row>
    <row r="71" spans="1:11" x14ac:dyDescent="0.2">
      <c r="A71" s="72"/>
      <c r="B71" s="89"/>
      <c r="C71" s="77" t="s">
        <v>62</v>
      </c>
      <c r="D71" s="78"/>
      <c r="E71" s="78"/>
      <c r="F71" s="78"/>
      <c r="G71" s="78"/>
      <c r="H71" s="72"/>
      <c r="I71" s="72"/>
      <c r="J71" s="72"/>
      <c r="K71" s="72"/>
    </row>
    <row r="72" spans="1:11" x14ac:dyDescent="0.2">
      <c r="A72" s="74"/>
      <c r="B72" s="89"/>
      <c r="C72" s="77" t="s">
        <v>59</v>
      </c>
      <c r="D72" s="84" t="e">
        <f>D70/D71/60</f>
        <v>#DIV/0!</v>
      </c>
      <c r="E72" s="84" t="e">
        <f>E70/E71/60</f>
        <v>#DIV/0!</v>
      </c>
      <c r="F72" s="84" t="e">
        <f>F70/F71/60</f>
        <v>#DIV/0!</v>
      </c>
      <c r="G72" s="84" t="e">
        <f>G70/G71/60</f>
        <v>#DIV/0!</v>
      </c>
      <c r="H72" s="72"/>
      <c r="I72" s="72"/>
      <c r="J72" s="72"/>
      <c r="K72" s="72"/>
    </row>
    <row r="73" spans="1:11" x14ac:dyDescent="0.2">
      <c r="B73" s="89" t="s">
        <v>63</v>
      </c>
      <c r="C73" s="77" t="s">
        <v>64</v>
      </c>
      <c r="D73" s="84" t="e">
        <f>IF(D65+D69+D72&lt;5,5,D65+D69+D72)</f>
        <v>#DIV/0!</v>
      </c>
      <c r="E73" s="84" t="e">
        <f>IF(E65+E69+E72&lt;5,5,E65+E69+E72)</f>
        <v>#DIV/0!</v>
      </c>
      <c r="F73" s="84" t="e">
        <f>IF(F65+F69+F72&lt;5,5,F65+F69+F72)</f>
        <v>#DIV/0!</v>
      </c>
      <c r="G73" s="84" t="e">
        <f>IF(G65+G69+G72&lt;5,5,G65+G69+G72)</f>
        <v>#DIV/0!</v>
      </c>
    </row>
    <row r="74" spans="1:11" x14ac:dyDescent="0.2">
      <c r="B74" s="89" t="s">
        <v>65</v>
      </c>
      <c r="C74" s="77"/>
      <c r="D74" s="84"/>
      <c r="E74" s="84"/>
      <c r="F74" s="84"/>
      <c r="G74" s="84"/>
    </row>
    <row r="75" spans="1:11" x14ac:dyDescent="0.2">
      <c r="B75" s="89" t="s">
        <v>66</v>
      </c>
      <c r="C75" s="77" t="s">
        <v>67</v>
      </c>
      <c r="D75" s="84" t="e">
        <f>105.1/((D$73+16.16)^0.9653)</f>
        <v>#DIV/0!</v>
      </c>
      <c r="E75" s="84" t="e">
        <f>105.1/((E$73+16.16)^0.9653)</f>
        <v>#DIV/0!</v>
      </c>
      <c r="F75" s="84" t="e">
        <f>105.1/((F$73+16.16)^0.9653)</f>
        <v>#DIV/0!</v>
      </c>
      <c r="G75" s="84" t="e">
        <f>105.1/((G$73+16.16)^0.9653)</f>
        <v>#DIV/0!</v>
      </c>
    </row>
    <row r="76" spans="1:11" x14ac:dyDescent="0.2">
      <c r="B76" s="89" t="s">
        <v>68</v>
      </c>
      <c r="C76" s="77" t="s">
        <v>67</v>
      </c>
      <c r="D76" s="84" t="e">
        <f>96.84/((D$73+15.88)^0.7952)</f>
        <v>#DIV/0!</v>
      </c>
      <c r="E76" s="84" t="e">
        <f>96.84/((E$73+15.88)^0.7952)</f>
        <v>#DIV/0!</v>
      </c>
      <c r="F76" s="84" t="e">
        <f>96.84/((F$73+15.88)^0.7952)</f>
        <v>#DIV/0!</v>
      </c>
      <c r="G76" s="84" t="e">
        <f>96.84/((G$73+15.88)^0.7952)</f>
        <v>#DIV/0!</v>
      </c>
    </row>
    <row r="77" spans="1:11" x14ac:dyDescent="0.2">
      <c r="B77" s="89" t="s">
        <v>69</v>
      </c>
      <c r="C77" s="77" t="s">
        <v>67</v>
      </c>
      <c r="D77" s="84" t="e">
        <f>111.07/((D$73+17.23)^0.7815)</f>
        <v>#DIV/0!</v>
      </c>
      <c r="E77" s="84" t="e">
        <f>111.07/((E$73+17.23)^0.7815)</f>
        <v>#DIV/0!</v>
      </c>
      <c r="F77" s="84" t="e">
        <f>111.07/((F$73+17.23)^0.7815)</f>
        <v>#DIV/0!</v>
      </c>
      <c r="G77" s="84" t="e">
        <f>111.07/((G$73+17.23)^0.7815)</f>
        <v>#DIV/0!</v>
      </c>
    </row>
    <row r="78" spans="1:11" x14ac:dyDescent="0.2">
      <c r="B78" s="89" t="s">
        <v>70</v>
      </c>
      <c r="C78" s="77"/>
      <c r="D78" s="84"/>
      <c r="E78" s="84"/>
      <c r="F78" s="84"/>
      <c r="G78" s="84"/>
    </row>
    <row r="79" spans="1:11" x14ac:dyDescent="0.2">
      <c r="B79" s="89" t="s">
        <v>71</v>
      </c>
      <c r="C79" s="77" t="s">
        <v>72</v>
      </c>
      <c r="D79" s="78">
        <v>0.18</v>
      </c>
      <c r="E79" s="78">
        <v>0.18</v>
      </c>
      <c r="F79" s="78">
        <v>0.18</v>
      </c>
      <c r="G79" s="78">
        <v>0.18</v>
      </c>
    </row>
    <row r="80" spans="1:11" x14ac:dyDescent="0.2">
      <c r="B80" s="89" t="s">
        <v>8</v>
      </c>
      <c r="C80" s="77" t="s">
        <v>73</v>
      </c>
      <c r="D80" s="78">
        <v>0.23</v>
      </c>
      <c r="E80" s="78">
        <v>0.23</v>
      </c>
      <c r="F80" s="78">
        <v>0.23</v>
      </c>
      <c r="G80" s="78">
        <v>0.23</v>
      </c>
    </row>
    <row r="81" spans="2:15" x14ac:dyDescent="0.2">
      <c r="B81" s="89" t="s">
        <v>8</v>
      </c>
      <c r="C81" s="77" t="s">
        <v>74</v>
      </c>
      <c r="D81" s="78">
        <v>0.24</v>
      </c>
      <c r="E81" s="78">
        <v>0.24</v>
      </c>
      <c r="F81" s="78">
        <v>0.24</v>
      </c>
      <c r="G81" s="78">
        <v>0.24</v>
      </c>
    </row>
    <row r="82" spans="2:15" x14ac:dyDescent="0.2">
      <c r="B82" s="89" t="s">
        <v>75</v>
      </c>
      <c r="C82" s="77" t="s">
        <v>72</v>
      </c>
      <c r="D82" s="78">
        <v>0.72</v>
      </c>
      <c r="E82" s="78">
        <v>0.72</v>
      </c>
      <c r="F82" s="78">
        <v>0.72</v>
      </c>
      <c r="G82" s="78">
        <v>0.72</v>
      </c>
      <c r="M82" s="85"/>
      <c r="N82" s="85"/>
      <c r="O82" s="85"/>
    </row>
    <row r="83" spans="2:15" x14ac:dyDescent="0.2">
      <c r="B83" s="89"/>
      <c r="C83" s="77" t="s">
        <v>73</v>
      </c>
      <c r="D83" s="78">
        <v>0.84</v>
      </c>
      <c r="E83" s="78">
        <v>0.84</v>
      </c>
      <c r="F83" s="78">
        <v>0.84</v>
      </c>
      <c r="G83" s="78">
        <v>0.84</v>
      </c>
      <c r="M83" s="85"/>
      <c r="N83" s="85"/>
      <c r="O83" s="85"/>
    </row>
    <row r="84" spans="2:15" x14ac:dyDescent="0.2">
      <c r="B84" s="89" t="s">
        <v>8</v>
      </c>
      <c r="C84" s="77" t="s">
        <v>74</v>
      </c>
      <c r="D84" s="78">
        <v>0.91</v>
      </c>
      <c r="E84" s="78">
        <v>0.91</v>
      </c>
      <c r="F84" s="78">
        <v>0.91</v>
      </c>
      <c r="G84" s="78">
        <v>0.91</v>
      </c>
      <c r="M84" s="85"/>
      <c r="N84" s="85"/>
      <c r="O84" s="85"/>
    </row>
    <row r="85" spans="2:15" x14ac:dyDescent="0.2">
      <c r="B85" s="89" t="s">
        <v>76</v>
      </c>
      <c r="C85" s="77" t="s">
        <v>72</v>
      </c>
      <c r="D85" s="84" t="e">
        <f t="shared" ref="D85:E87" si="2">((D$61)*D82)+((1-(D$61))*D79)</f>
        <v>#DIV/0!</v>
      </c>
      <c r="E85" s="84" t="e">
        <f t="shared" si="2"/>
        <v>#DIV/0!</v>
      </c>
      <c r="F85" s="84" t="e">
        <f t="shared" ref="F85:G87" si="3">((F$61)*F82)+((1-(F$61))*F79)</f>
        <v>#DIV/0!</v>
      </c>
      <c r="G85" s="84" t="e">
        <f t="shared" si="3"/>
        <v>#DIV/0!</v>
      </c>
      <c r="M85" s="85"/>
      <c r="N85" s="85"/>
      <c r="O85" s="85"/>
    </row>
    <row r="86" spans="2:15" x14ac:dyDescent="0.2">
      <c r="B86" s="89"/>
      <c r="C86" s="77" t="s">
        <v>73</v>
      </c>
      <c r="D86" s="84" t="e">
        <f t="shared" si="2"/>
        <v>#DIV/0!</v>
      </c>
      <c r="E86" s="84" t="e">
        <f t="shared" si="2"/>
        <v>#DIV/0!</v>
      </c>
      <c r="F86" s="84" t="e">
        <f t="shared" si="3"/>
        <v>#DIV/0!</v>
      </c>
      <c r="G86" s="84" t="e">
        <f t="shared" si="3"/>
        <v>#DIV/0!</v>
      </c>
      <c r="M86" s="85"/>
      <c r="N86" s="85"/>
      <c r="O86" s="85"/>
    </row>
    <row r="87" spans="2:15" x14ac:dyDescent="0.2">
      <c r="B87" s="89"/>
      <c r="C87" s="77" t="s">
        <v>74</v>
      </c>
      <c r="D87" s="84" t="e">
        <f t="shared" si="2"/>
        <v>#DIV/0!</v>
      </c>
      <c r="E87" s="84" t="e">
        <f t="shared" si="2"/>
        <v>#DIV/0!</v>
      </c>
      <c r="F87" s="84" t="e">
        <f>((F$61)*F84)+((1-(F$61))*F81)</f>
        <v>#DIV/0!</v>
      </c>
      <c r="G87" s="84" t="e">
        <f t="shared" si="3"/>
        <v>#DIV/0!</v>
      </c>
      <c r="H87" s="134" t="s">
        <v>12</v>
      </c>
      <c r="M87" s="85"/>
      <c r="N87" s="85"/>
      <c r="O87" s="85"/>
    </row>
    <row r="88" spans="2:15" x14ac:dyDescent="0.2">
      <c r="B88" s="89" t="s">
        <v>77</v>
      </c>
      <c r="C88" s="77" t="s">
        <v>78</v>
      </c>
      <c r="D88" s="135" t="e">
        <f>D$60*D75*D85</f>
        <v>#DIV/0!</v>
      </c>
      <c r="E88" s="135" t="e">
        <f t="shared" ref="D88:E90" si="4">E$60*E75*E85</f>
        <v>#DIV/0!</v>
      </c>
      <c r="F88" s="135" t="e">
        <f t="shared" ref="F88:G90" si="5">F$60*F75*F85</f>
        <v>#DIV/0!</v>
      </c>
      <c r="G88" s="135" t="e">
        <f t="shared" si="5"/>
        <v>#DIV/0!</v>
      </c>
      <c r="H88" s="135" t="e">
        <f>SUM(D88:G88)</f>
        <v>#DIV/0!</v>
      </c>
      <c r="M88" s="85"/>
      <c r="N88" s="85"/>
      <c r="O88" s="85"/>
    </row>
    <row r="89" spans="2:15" x14ac:dyDescent="0.2">
      <c r="B89" s="89" t="s">
        <v>79</v>
      </c>
      <c r="C89" s="77" t="s">
        <v>78</v>
      </c>
      <c r="D89" s="135" t="e">
        <f>D$60*D76*D86</f>
        <v>#DIV/0!</v>
      </c>
      <c r="E89" s="135" t="e">
        <f t="shared" si="4"/>
        <v>#DIV/0!</v>
      </c>
      <c r="F89" s="135" t="e">
        <f t="shared" si="5"/>
        <v>#DIV/0!</v>
      </c>
      <c r="G89" s="135" t="e">
        <f t="shared" si="5"/>
        <v>#DIV/0!</v>
      </c>
      <c r="H89" s="135" t="e">
        <f>SUM(D89:G89)</f>
        <v>#DIV/0!</v>
      </c>
      <c r="M89" s="85"/>
      <c r="N89" s="85"/>
      <c r="O89" s="85"/>
    </row>
    <row r="90" spans="2:15" x14ac:dyDescent="0.2">
      <c r="B90" s="89" t="s">
        <v>80</v>
      </c>
      <c r="C90" s="77" t="s">
        <v>78</v>
      </c>
      <c r="D90" s="135" t="e">
        <f t="shared" si="4"/>
        <v>#DIV/0!</v>
      </c>
      <c r="E90" s="135" t="e">
        <f t="shared" si="4"/>
        <v>#DIV/0!</v>
      </c>
      <c r="F90" s="135" t="e">
        <f t="shared" si="5"/>
        <v>#DIV/0!</v>
      </c>
      <c r="G90" s="135" t="e">
        <f t="shared" si="5"/>
        <v>#DIV/0!</v>
      </c>
      <c r="H90" s="135" t="e">
        <f>SUM(D90:G90)</f>
        <v>#DIV/0!</v>
      </c>
      <c r="M90" s="85"/>
      <c r="N90" s="85"/>
      <c r="O90" s="85"/>
    </row>
    <row r="91" spans="2:15" x14ac:dyDescent="0.2">
      <c r="B91" s="28"/>
      <c r="C91" s="72"/>
      <c r="D91" s="90"/>
      <c r="E91" s="90"/>
      <c r="M91" s="85"/>
      <c r="N91" s="85"/>
      <c r="O91" s="85"/>
    </row>
    <row r="92" spans="2:15" x14ac:dyDescent="0.2">
      <c r="B92" s="28"/>
      <c r="C92" s="72"/>
      <c r="D92" s="90"/>
      <c r="E92" s="90"/>
      <c r="M92" s="85"/>
      <c r="N92" s="85"/>
      <c r="O92" s="85"/>
    </row>
    <row r="93" spans="2:15" x14ac:dyDescent="0.2">
      <c r="B93" s="28"/>
      <c r="C93" s="72"/>
      <c r="D93" s="90"/>
      <c r="E93" s="90"/>
      <c r="M93" s="85"/>
      <c r="N93" s="85"/>
      <c r="O93" s="85"/>
    </row>
    <row r="94" spans="2:15" x14ac:dyDescent="0.2">
      <c r="B94" s="28"/>
      <c r="C94" s="72"/>
      <c r="D94" s="90"/>
      <c r="E94" s="90"/>
      <c r="M94" s="85"/>
      <c r="N94" s="85"/>
      <c r="O94" s="85"/>
    </row>
    <row r="95" spans="2:15" x14ac:dyDescent="0.2">
      <c r="B95" s="28"/>
      <c r="C95" s="72"/>
      <c r="D95" s="90"/>
      <c r="E95" s="90"/>
      <c r="M95" s="85"/>
      <c r="N95" s="85"/>
      <c r="O95" s="85"/>
    </row>
  </sheetData>
  <mergeCells count="1">
    <mergeCell ref="B10:C10"/>
  </mergeCells>
  <phoneticPr fontId="3" type="noConversion"/>
  <pageMargins left="0.75" right="0.75" top="1" bottom="1" header="0.5" footer="0.5"/>
  <pageSetup scale="80" fitToHeight="2" orientation="portrait" verticalDpi="0" r:id="rId1"/>
  <headerFooter alignWithMargins="0"/>
  <rowBreaks count="1" manualBreakCount="1">
    <brk id="5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66"/>
  <sheetViews>
    <sheetView tabSelected="1" zoomScaleNormal="100" workbookViewId="0">
      <selection activeCell="I154" sqref="I154"/>
    </sheetView>
  </sheetViews>
  <sheetFormatPr defaultColWidth="9.140625" defaultRowHeight="12" x14ac:dyDescent="0.2"/>
  <cols>
    <col min="1" max="1" width="29" style="30" customWidth="1"/>
    <col min="2" max="2" width="16.5703125" style="30" customWidth="1"/>
    <col min="3" max="3" width="5.7109375" style="30" customWidth="1"/>
    <col min="4" max="4" width="10.5703125" style="30" customWidth="1"/>
    <col min="5" max="6" width="9.7109375" style="30" customWidth="1"/>
    <col min="7" max="7" width="11.140625" style="31" customWidth="1"/>
    <col min="8" max="8" width="8.5703125" style="31" customWidth="1"/>
    <col min="9" max="9" width="15.85546875" style="30" customWidth="1"/>
    <col min="10" max="11" width="9.85546875" style="30" bestFit="1" customWidth="1"/>
    <col min="12" max="12" width="9.140625" style="30"/>
    <col min="13" max="13" width="16.7109375" style="30" bestFit="1" customWidth="1"/>
    <col min="14" max="15" width="9.140625" style="31"/>
    <col min="16" max="16384" width="9.140625" style="30"/>
  </cols>
  <sheetData>
    <row r="1" spans="1:15" s="28" customFormat="1" ht="25.5" x14ac:dyDescent="0.35">
      <c r="A1" s="121" t="s">
        <v>0</v>
      </c>
      <c r="B1" s="106"/>
      <c r="C1" s="106"/>
      <c r="D1" s="106"/>
      <c r="E1" s="30"/>
      <c r="F1" s="140"/>
      <c r="G1" s="176" t="s">
        <v>347</v>
      </c>
      <c r="H1"/>
      <c r="I1"/>
      <c r="J1" s="30"/>
    </row>
    <row r="2" spans="1:15" s="28" customFormat="1" ht="15" x14ac:dyDescent="0.25">
      <c r="A2" s="44"/>
      <c r="E2" s="30"/>
      <c r="F2" s="30"/>
      <c r="G2" s="29"/>
      <c r="H2"/>
      <c r="I2"/>
      <c r="J2" s="30"/>
    </row>
    <row r="3" spans="1:15" s="28" customFormat="1" ht="15" x14ac:dyDescent="0.25">
      <c r="A3" s="121" t="s">
        <v>81</v>
      </c>
      <c r="B3" s="106"/>
      <c r="C3" s="106"/>
      <c r="D3" s="106"/>
      <c r="E3" s="106"/>
      <c r="F3" s="106"/>
      <c r="G3" s="122"/>
      <c r="H3" s="29"/>
    </row>
    <row r="4" spans="1:15" s="28" customFormat="1" ht="15" x14ac:dyDescent="0.25">
      <c r="A4" s="44"/>
      <c r="G4" s="29"/>
      <c r="H4" s="29"/>
    </row>
    <row r="5" spans="1:15" x14ac:dyDescent="0.2">
      <c r="A5" s="28" t="s">
        <v>82</v>
      </c>
      <c r="N5" s="30"/>
      <c r="O5" s="30"/>
    </row>
    <row r="6" spans="1:15" s="28" customFormat="1" x14ac:dyDescent="0.2">
      <c r="A6" s="28" t="s">
        <v>83</v>
      </c>
      <c r="G6" s="29"/>
      <c r="H6" s="29"/>
    </row>
    <row r="7" spans="1:15" s="28" customFormat="1" x14ac:dyDescent="0.2">
      <c r="A7" s="137" t="s">
        <v>84</v>
      </c>
      <c r="B7" s="137"/>
      <c r="G7" s="29"/>
      <c r="H7" s="29"/>
    </row>
    <row r="8" spans="1:15" s="28" customFormat="1" x14ac:dyDescent="0.2">
      <c r="G8" s="29"/>
      <c r="H8" s="29"/>
    </row>
    <row r="9" spans="1:15" s="28" customFormat="1" x14ac:dyDescent="0.2">
      <c r="A9" s="59" t="s">
        <v>85</v>
      </c>
      <c r="B9" s="60"/>
      <c r="C9" s="61"/>
      <c r="D9" s="60"/>
      <c r="E9" s="123"/>
      <c r="F9" s="59"/>
      <c r="G9" s="29"/>
      <c r="I9" s="184" t="s">
        <v>86</v>
      </c>
      <c r="N9" s="29"/>
      <c r="O9" s="29"/>
    </row>
    <row r="10" spans="1:15" s="28" customFormat="1" x14ac:dyDescent="0.2">
      <c r="G10" s="29" t="s">
        <v>8</v>
      </c>
      <c r="H10" s="29"/>
    </row>
    <row r="11" spans="1:15" s="28" customFormat="1" ht="13.5" thickBot="1" x14ac:dyDescent="0.25">
      <c r="A11" s="161" t="s">
        <v>6</v>
      </c>
      <c r="B11" s="200" t="s">
        <v>7</v>
      </c>
      <c r="C11" s="201"/>
      <c r="G11" s="29"/>
      <c r="H11" s="29"/>
    </row>
    <row r="12" spans="1:15" s="28" customFormat="1" x14ac:dyDescent="0.2">
      <c r="A12" s="162" t="s">
        <v>9</v>
      </c>
      <c r="B12" s="163" t="s">
        <v>10</v>
      </c>
      <c r="C12" s="163" t="s">
        <v>87</v>
      </c>
      <c r="D12" s="164">
        <f>'IC &amp; Runoff'!D11</f>
        <v>1</v>
      </c>
      <c r="E12" s="164">
        <f>'IC &amp; Runoff'!E11</f>
        <v>2</v>
      </c>
      <c r="F12" s="164">
        <f>'IC &amp; Runoff'!F11</f>
        <v>3</v>
      </c>
      <c r="G12" s="164">
        <f>'IC &amp; Runoff'!G11</f>
        <v>4</v>
      </c>
      <c r="H12" s="165" t="s">
        <v>63</v>
      </c>
    </row>
    <row r="13" spans="1:15" s="28" customFormat="1" x14ac:dyDescent="0.2">
      <c r="A13" s="100"/>
      <c r="B13" s="28" t="s">
        <v>13</v>
      </c>
      <c r="C13" s="71" t="s">
        <v>14</v>
      </c>
      <c r="D13" s="80">
        <f>'IC &amp; Runoff'!D12</f>
        <v>0</v>
      </c>
      <c r="E13" s="80">
        <f>'IC &amp; Runoff'!E12</f>
        <v>0</v>
      </c>
      <c r="F13" s="80">
        <f>'IC &amp; Runoff'!F12</f>
        <v>0</v>
      </c>
      <c r="G13" s="80">
        <f>'IC &amp; Runoff'!G12</f>
        <v>0</v>
      </c>
      <c r="H13" s="84">
        <f>SUM(D13:G13)</f>
        <v>0</v>
      </c>
    </row>
    <row r="14" spans="1:15" s="28" customFormat="1" x14ac:dyDescent="0.2">
      <c r="D14" s="29"/>
      <c r="E14" s="29"/>
      <c r="F14" s="29"/>
      <c r="G14" s="29"/>
      <c r="H14" s="29"/>
    </row>
    <row r="15" spans="1:15" s="28" customFormat="1" x14ac:dyDescent="0.2">
      <c r="A15" s="100" t="s">
        <v>88</v>
      </c>
    </row>
    <row r="16" spans="1:15" s="28" customFormat="1" x14ac:dyDescent="0.2">
      <c r="A16" s="91" t="str">
        <f>'IC &amp; Runoff'!A16</f>
        <v>Street/Parking</v>
      </c>
      <c r="C16" s="72" t="s">
        <v>24</v>
      </c>
      <c r="D16" s="92">
        <f>'IC &amp; Runoff'!D29</f>
        <v>0</v>
      </c>
      <c r="E16" s="92">
        <f>'IC &amp; Runoff'!E29</f>
        <v>0</v>
      </c>
      <c r="F16" s="92">
        <f>'IC &amp; Runoff'!F29</f>
        <v>0</v>
      </c>
      <c r="G16" s="92">
        <f>'IC &amp; Runoff'!G29</f>
        <v>0</v>
      </c>
      <c r="H16" s="84">
        <f>SUM(D16:G16)</f>
        <v>0</v>
      </c>
    </row>
    <row r="17" spans="1:15" s="28" customFormat="1" x14ac:dyDescent="0.2">
      <c r="A17" s="91" t="str">
        <f>'IC &amp; Runoff'!A31</f>
        <v>Residential Lots</v>
      </c>
      <c r="C17" s="72" t="s">
        <v>24</v>
      </c>
      <c r="D17" s="92">
        <f>'IC &amp; Runoff'!D46</f>
        <v>0</v>
      </c>
      <c r="E17" s="92">
        <f>'IC &amp; Runoff'!E46</f>
        <v>0</v>
      </c>
      <c r="F17" s="92">
        <f>'IC &amp; Runoff'!F46</f>
        <v>0</v>
      </c>
      <c r="G17" s="92">
        <f>'IC &amp; Runoff'!G46</f>
        <v>0</v>
      </c>
      <c r="H17" s="84">
        <f>SUM(D17:G17)</f>
        <v>0</v>
      </c>
      <c r="J17" s="29"/>
    </row>
    <row r="18" spans="1:15" s="28" customFormat="1" x14ac:dyDescent="0.2">
      <c r="A18" s="91" t="s">
        <v>89</v>
      </c>
      <c r="C18" s="72" t="s">
        <v>24</v>
      </c>
      <c r="D18" s="92">
        <f>'IC &amp; Runoff'!D48</f>
        <v>0</v>
      </c>
      <c r="E18" s="92">
        <f>'IC &amp; Runoff'!E48</f>
        <v>0</v>
      </c>
      <c r="F18" s="92">
        <f>'IC &amp; Runoff'!F48</f>
        <v>0</v>
      </c>
      <c r="G18" s="92">
        <f>'IC &amp; Runoff'!G48</f>
        <v>0</v>
      </c>
      <c r="H18" s="84">
        <f>SUM(D18:G18)</f>
        <v>0</v>
      </c>
      <c r="J18" s="29"/>
    </row>
    <row r="19" spans="1:15" s="28" customFormat="1" x14ac:dyDescent="0.2">
      <c r="A19" s="91" t="s">
        <v>90</v>
      </c>
      <c r="C19" s="72" t="s">
        <v>24</v>
      </c>
      <c r="D19" s="92">
        <f>'IC &amp; Runoff'!D50</f>
        <v>0</v>
      </c>
      <c r="E19" s="92">
        <f>'IC &amp; Runoff'!E50</f>
        <v>0</v>
      </c>
      <c r="F19" s="92">
        <f>'IC &amp; Runoff'!F50</f>
        <v>0</v>
      </c>
      <c r="G19" s="92">
        <f>'IC &amp; Runoff'!G50</f>
        <v>0</v>
      </c>
      <c r="H19" s="84">
        <f>SUM(D19:G19)</f>
        <v>0</v>
      </c>
      <c r="J19" s="29"/>
    </row>
    <row r="20" spans="1:15" s="28" customFormat="1" ht="12.75" x14ac:dyDescent="0.2">
      <c r="A20" s="91"/>
      <c r="C20" s="72"/>
      <c r="D20" s="50"/>
      <c r="E20" s="50"/>
      <c r="F20" s="50"/>
      <c r="G20" s="50"/>
      <c r="H20"/>
      <c r="J20" s="29"/>
    </row>
    <row r="21" spans="1:15" s="28" customFormat="1" x14ac:dyDescent="0.2">
      <c r="B21" s="45" t="s">
        <v>53</v>
      </c>
      <c r="C21" s="72" t="s">
        <v>24</v>
      </c>
      <c r="D21" s="92">
        <f>SUM(D16:D19)</f>
        <v>0</v>
      </c>
      <c r="E21" s="92">
        <f>SUM(E16:E19)</f>
        <v>0</v>
      </c>
      <c r="F21" s="92">
        <f>SUM(F16:F19)</f>
        <v>0</v>
      </c>
      <c r="G21" s="92">
        <f>SUM(G16:G19)</f>
        <v>0</v>
      </c>
      <c r="H21" s="84">
        <f>SUM(D21:G21)</f>
        <v>0</v>
      </c>
      <c r="N21" s="29"/>
      <c r="O21" s="29"/>
    </row>
    <row r="22" spans="1:15" s="28" customFormat="1" x14ac:dyDescent="0.2">
      <c r="B22" s="45" t="s">
        <v>91</v>
      </c>
      <c r="C22" s="72" t="s">
        <v>54</v>
      </c>
      <c r="D22" s="119" t="e">
        <f>(D21/D13)*100</f>
        <v>#DIV/0!</v>
      </c>
      <c r="E22" s="119" t="e">
        <f>(E21/E13)*100</f>
        <v>#DIV/0!</v>
      </c>
      <c r="F22" s="119" t="e">
        <f>(F21/F13)*100</f>
        <v>#DIV/0!</v>
      </c>
      <c r="G22" s="119" t="e">
        <f>(G21/G13)*100</f>
        <v>#DIV/0!</v>
      </c>
      <c r="H22" s="120" t="e">
        <f>H21/H13*100</f>
        <v>#DIV/0!</v>
      </c>
      <c r="N22" s="29"/>
      <c r="O22" s="29"/>
    </row>
    <row r="23" spans="1:15" s="28" customFormat="1" ht="12.75" x14ac:dyDescent="0.2">
      <c r="C23" s="39"/>
      <c r="D23" s="30"/>
      <c r="E23"/>
      <c r="F23"/>
      <c r="G23"/>
      <c r="H23"/>
      <c r="N23" s="29"/>
      <c r="O23" s="29"/>
    </row>
    <row r="24" spans="1:15" s="28" customFormat="1" ht="12.75" x14ac:dyDescent="0.2">
      <c r="A24" s="52" t="s">
        <v>92</v>
      </c>
      <c r="B24" s="29" t="s">
        <v>8</v>
      </c>
      <c r="C24" s="48" t="s">
        <v>93</v>
      </c>
      <c r="E24" s="1"/>
      <c r="F24" s="1"/>
      <c r="G24"/>
      <c r="H24"/>
      <c r="I24" s="28" t="s">
        <v>8</v>
      </c>
      <c r="N24" s="29"/>
      <c r="O24" s="29"/>
    </row>
    <row r="25" spans="1:15" ht="12.75" x14ac:dyDescent="0.2">
      <c r="C25" s="47" t="s">
        <v>94</v>
      </c>
      <c r="D25" s="28"/>
      <c r="E25"/>
      <c r="F25"/>
      <c r="G25"/>
      <c r="H25"/>
      <c r="I25" s="50"/>
    </row>
    <row r="26" spans="1:15" ht="12.75" x14ac:dyDescent="0.2">
      <c r="C26" s="47" t="s">
        <v>95</v>
      </c>
      <c r="D26" s="28"/>
      <c r="E26"/>
      <c r="F26"/>
      <c r="G26"/>
      <c r="H26"/>
      <c r="I26" s="50"/>
    </row>
    <row r="27" spans="1:15" s="28" customFormat="1" ht="12.75" x14ac:dyDescent="0.2">
      <c r="C27" s="49" t="s">
        <v>96</v>
      </c>
      <c r="E27" s="1"/>
      <c r="F27" s="1"/>
      <c r="G27" s="1"/>
      <c r="H27" s="1"/>
      <c r="N27" s="29"/>
      <c r="O27" s="29"/>
    </row>
    <row r="28" spans="1:15" x14ac:dyDescent="0.2">
      <c r="C28" s="28" t="s">
        <v>97</v>
      </c>
      <c r="D28" s="28"/>
      <c r="E28" s="28"/>
      <c r="F28" s="42"/>
      <c r="G28" s="29"/>
      <c r="H28" s="40"/>
      <c r="I28" s="50"/>
    </row>
    <row r="29" spans="1:15" x14ac:dyDescent="0.2">
      <c r="C29" s="28" t="s">
        <v>98</v>
      </c>
      <c r="D29" s="28"/>
      <c r="E29" s="28"/>
      <c r="F29" s="42"/>
      <c r="G29" s="29"/>
      <c r="H29" s="40"/>
      <c r="I29" s="50"/>
    </row>
    <row r="30" spans="1:15" s="28" customFormat="1" x14ac:dyDescent="0.2">
      <c r="F30" s="42"/>
      <c r="G30" s="29"/>
      <c r="H30" s="40"/>
      <c r="N30" s="29"/>
      <c r="O30" s="29"/>
    </row>
    <row r="31" spans="1:15" x14ac:dyDescent="0.2">
      <c r="B31" s="31"/>
      <c r="C31" s="49" t="s">
        <v>99</v>
      </c>
      <c r="D31" s="31"/>
      <c r="E31" s="39"/>
      <c r="F31" s="39"/>
    </row>
    <row r="32" spans="1:15" x14ac:dyDescent="0.2">
      <c r="B32" s="31"/>
      <c r="D32" s="31"/>
      <c r="E32" s="39"/>
      <c r="F32" s="39"/>
    </row>
    <row r="33" spans="1:15" s="28" customFormat="1" x14ac:dyDescent="0.2">
      <c r="A33" s="59" t="s">
        <v>100</v>
      </c>
      <c r="B33" s="60"/>
      <c r="C33" s="61"/>
      <c r="D33" s="60"/>
      <c r="E33" s="123"/>
      <c r="F33" s="42"/>
      <c r="G33" s="29"/>
      <c r="I33" s="184" t="s">
        <v>101</v>
      </c>
      <c r="N33" s="29"/>
      <c r="O33" s="29"/>
    </row>
    <row r="34" spans="1:15" s="28" customFormat="1" x14ac:dyDescent="0.2">
      <c r="A34" s="42"/>
      <c r="B34" s="29"/>
      <c r="C34" s="46"/>
      <c r="D34" s="29"/>
      <c r="E34" s="50"/>
      <c r="F34" s="42"/>
      <c r="G34" s="29"/>
      <c r="H34" s="51"/>
      <c r="N34" s="29"/>
      <c r="O34" s="29"/>
    </row>
    <row r="35" spans="1:15" s="28" customFormat="1" ht="12.75" thickBot="1" x14ac:dyDescent="0.25">
      <c r="A35" s="166" t="s">
        <v>102</v>
      </c>
      <c r="B35" s="70"/>
      <c r="C35" s="99"/>
      <c r="D35" s="70"/>
      <c r="E35" s="54"/>
      <c r="F35" s="54"/>
      <c r="G35" s="54"/>
      <c r="H35" s="172" t="s">
        <v>63</v>
      </c>
      <c r="N35" s="29"/>
      <c r="O35" s="29"/>
    </row>
    <row r="36" spans="1:15" s="28" customFormat="1" x14ac:dyDescent="0.2">
      <c r="A36" s="167" t="s">
        <v>103</v>
      </c>
      <c r="B36" s="71" t="s">
        <v>104</v>
      </c>
      <c r="C36" s="97" t="s">
        <v>24</v>
      </c>
      <c r="D36" s="98"/>
      <c r="E36" s="98"/>
      <c r="F36" s="98"/>
      <c r="G36" s="98"/>
      <c r="H36" s="171"/>
      <c r="N36" s="29"/>
      <c r="O36" s="29"/>
    </row>
    <row r="37" spans="1:15" s="28" customFormat="1" x14ac:dyDescent="0.2">
      <c r="B37" s="71" t="s">
        <v>105</v>
      </c>
      <c r="C37" s="97" t="s">
        <v>24</v>
      </c>
      <c r="D37" s="92">
        <f>D36*0.9</f>
        <v>0</v>
      </c>
      <c r="E37" s="92">
        <f>E36*0.9</f>
        <v>0</v>
      </c>
      <c r="F37" s="92">
        <f>F36*0.9</f>
        <v>0</v>
      </c>
      <c r="G37" s="92">
        <f>G36*0.9</f>
        <v>0</v>
      </c>
      <c r="H37" s="129"/>
      <c r="I37" s="185" t="s">
        <v>106</v>
      </c>
      <c r="N37" s="29"/>
      <c r="O37" s="29"/>
    </row>
    <row r="38" spans="1:15" s="28" customFormat="1" x14ac:dyDescent="0.2">
      <c r="A38" s="30" t="s">
        <v>107</v>
      </c>
      <c r="B38" s="71" t="s">
        <v>108</v>
      </c>
      <c r="C38" s="97" t="s">
        <v>24</v>
      </c>
      <c r="D38" s="78"/>
      <c r="E38" s="78"/>
      <c r="F38" s="78"/>
      <c r="G38" s="78"/>
      <c r="H38" s="129"/>
      <c r="I38" s="129"/>
      <c r="N38" s="29"/>
      <c r="O38" s="29"/>
    </row>
    <row r="39" spans="1:15" s="28" customFormat="1" x14ac:dyDescent="0.2">
      <c r="A39" s="30"/>
      <c r="B39" s="71" t="s">
        <v>109</v>
      </c>
      <c r="C39" s="97" t="s">
        <v>54</v>
      </c>
      <c r="D39" s="78"/>
      <c r="E39" s="78"/>
      <c r="F39" s="78"/>
      <c r="G39" s="78"/>
      <c r="H39" s="129"/>
      <c r="I39" s="129"/>
      <c r="N39" s="29"/>
      <c r="O39" s="29"/>
    </row>
    <row r="40" spans="1:15" s="28" customFormat="1" x14ac:dyDescent="0.2">
      <c r="B40" s="71" t="s">
        <v>105</v>
      </c>
      <c r="C40" s="97" t="s">
        <v>24</v>
      </c>
      <c r="D40" s="92">
        <f>(D38*D39*0.75)/100</f>
        <v>0</v>
      </c>
      <c r="E40" s="92">
        <f>(E38*E39*0.75)/100</f>
        <v>0</v>
      </c>
      <c r="F40" s="92">
        <f>(F38*F39*0.75)/100</f>
        <v>0</v>
      </c>
      <c r="G40" s="92">
        <f>(G38*G39*0.75)/100</f>
        <v>0</v>
      </c>
      <c r="H40" s="129"/>
      <c r="I40" s="185" t="s">
        <v>110</v>
      </c>
      <c r="N40" s="29"/>
      <c r="O40" s="29"/>
    </row>
    <row r="41" spans="1:15" s="28" customFormat="1" x14ac:dyDescent="0.2">
      <c r="A41" s="30" t="s">
        <v>111</v>
      </c>
      <c r="B41" s="71" t="s">
        <v>112</v>
      </c>
      <c r="C41" s="97" t="s">
        <v>113</v>
      </c>
      <c r="D41" s="78">
        <v>1</v>
      </c>
      <c r="E41" s="78">
        <v>1</v>
      </c>
      <c r="F41" s="78">
        <v>1</v>
      </c>
      <c r="G41" s="78">
        <v>1</v>
      </c>
      <c r="H41" s="129"/>
      <c r="I41" s="129"/>
      <c r="N41" s="29"/>
      <c r="O41" s="29"/>
    </row>
    <row r="42" spans="1:15" x14ac:dyDescent="0.2">
      <c r="B42" s="71" t="s">
        <v>114</v>
      </c>
      <c r="C42" s="97" t="s">
        <v>115</v>
      </c>
      <c r="D42" s="78"/>
      <c r="E42" s="78"/>
      <c r="F42" s="78"/>
      <c r="G42" s="78"/>
    </row>
    <row r="43" spans="1:15" s="28" customFormat="1" x14ac:dyDescent="0.2">
      <c r="A43" s="30"/>
      <c r="B43" s="71" t="s">
        <v>116</v>
      </c>
      <c r="C43" s="97" t="s">
        <v>113</v>
      </c>
      <c r="D43" s="92">
        <f>D42/D41</f>
        <v>0</v>
      </c>
      <c r="E43" s="92">
        <f>E42/E41</f>
        <v>0</v>
      </c>
      <c r="F43" s="92">
        <f>F42/F41</f>
        <v>0</v>
      </c>
      <c r="G43" s="92">
        <f>G42/G41</f>
        <v>0</v>
      </c>
      <c r="H43" s="129"/>
      <c r="I43" s="129"/>
      <c r="N43" s="29"/>
      <c r="O43" s="29"/>
    </row>
    <row r="44" spans="1:15" s="28" customFormat="1" x14ac:dyDescent="0.2">
      <c r="A44" s="30"/>
      <c r="B44" s="71" t="s">
        <v>117</v>
      </c>
      <c r="C44" s="97" t="s">
        <v>54</v>
      </c>
      <c r="D44" s="187">
        <f>IF(D43&lt;0.065,1.8645*D43^0.5829,IF(D43&lt;=1,0.13854*LN(D43)+0.75602,0.76))*100</f>
        <v>0</v>
      </c>
      <c r="E44" s="187">
        <f>IF(E43&lt;0.065,1.8645*E43^0.5829,IF(E43&lt;=1,0.13854*LN(E43)+0.75602,0.76))*100</f>
        <v>0</v>
      </c>
      <c r="F44" s="187">
        <f>IF(F43&lt;0.065,1.8645*F43^0.5829,IF(F43&lt;=1,0.13854*LN(F43)+0.75602,0.76))*100</f>
        <v>0</v>
      </c>
      <c r="G44" s="187">
        <f>IF(G43&lt;0.065,1.8645*G43^0.5829,IF(G43&lt;=1,0.13854*LN(G43)+0.75602,0.76))*100</f>
        <v>0</v>
      </c>
      <c r="H44" s="129"/>
      <c r="I44" s="129"/>
      <c r="N44" s="29"/>
      <c r="O44" s="29"/>
    </row>
    <row r="45" spans="1:15" s="28" customFormat="1" x14ac:dyDescent="0.2">
      <c r="A45" s="30"/>
      <c r="B45" s="71" t="s">
        <v>118</v>
      </c>
      <c r="C45" s="97" t="s">
        <v>32</v>
      </c>
      <c r="D45" s="78">
        <v>10</v>
      </c>
      <c r="E45" s="78">
        <v>10</v>
      </c>
      <c r="F45" s="78">
        <v>10</v>
      </c>
      <c r="G45" s="78">
        <v>10</v>
      </c>
      <c r="H45" s="129"/>
      <c r="I45" s="129"/>
      <c r="N45" s="29"/>
      <c r="O45" s="29"/>
    </row>
    <row r="46" spans="1:15" s="28" customFormat="1" x14ac:dyDescent="0.2">
      <c r="B46" s="71" t="s">
        <v>105</v>
      </c>
      <c r="C46" s="97" t="s">
        <v>24</v>
      </c>
      <c r="D46" s="92">
        <f>((D44*D45*D41)/43560)/100</f>
        <v>0</v>
      </c>
      <c r="E46" s="92">
        <f>((E44*E45*E41)/43560)/100</f>
        <v>0</v>
      </c>
      <c r="F46" s="92">
        <f>((F44*F45*F41)/43560)/100</f>
        <v>0</v>
      </c>
      <c r="G46" s="92">
        <f>((G44*G45*G41)/43560)/100</f>
        <v>0</v>
      </c>
      <c r="H46" s="129"/>
      <c r="I46" s="185" t="s">
        <v>119</v>
      </c>
      <c r="N46" s="29"/>
      <c r="O46" s="29"/>
    </row>
    <row r="47" spans="1:15" s="28" customFormat="1" x14ac:dyDescent="0.2">
      <c r="A47" s="30" t="s">
        <v>120</v>
      </c>
      <c r="B47" s="71" t="s">
        <v>121</v>
      </c>
      <c r="C47" s="97" t="s">
        <v>113</v>
      </c>
      <c r="D47" s="78"/>
      <c r="E47" s="78"/>
      <c r="F47" s="78"/>
      <c r="G47" s="78"/>
      <c r="H47" s="129"/>
      <c r="I47" s="129"/>
      <c r="N47" s="29"/>
      <c r="O47" s="29"/>
    </row>
    <row r="48" spans="1:15" s="28" customFormat="1" x14ac:dyDescent="0.2">
      <c r="A48" s="30"/>
      <c r="B48" s="71" t="s">
        <v>118</v>
      </c>
      <c r="C48" s="97" t="s">
        <v>32</v>
      </c>
      <c r="D48" s="78"/>
      <c r="E48" s="78"/>
      <c r="F48" s="78"/>
      <c r="G48" s="78"/>
      <c r="H48" s="129"/>
      <c r="I48" s="129"/>
      <c r="N48" s="29"/>
      <c r="O48" s="29"/>
    </row>
    <row r="49" spans="1:15" s="28" customFormat="1" x14ac:dyDescent="0.2">
      <c r="A49" s="30"/>
      <c r="B49" s="71" t="s">
        <v>105</v>
      </c>
      <c r="C49" s="97" t="s">
        <v>122</v>
      </c>
      <c r="D49" s="78"/>
      <c r="E49" s="78"/>
      <c r="F49" s="78"/>
      <c r="G49" s="78"/>
      <c r="H49" s="129"/>
      <c r="I49" s="129"/>
      <c r="N49" s="29"/>
      <c r="O49" s="29"/>
    </row>
    <row r="50" spans="1:15" s="28" customFormat="1" x14ac:dyDescent="0.2">
      <c r="A50" s="30"/>
      <c r="B50" s="71" t="s">
        <v>105</v>
      </c>
      <c r="C50" s="97" t="s">
        <v>24</v>
      </c>
      <c r="D50" s="92">
        <f>(D47*D48*D49)/100*(1/43560)</f>
        <v>0</v>
      </c>
      <c r="E50" s="92">
        <f>(E47*E48*E49)/100*(1/43560)</f>
        <v>0</v>
      </c>
      <c r="F50" s="92">
        <f>(F47*F48*F49)/100*(1/43560)</f>
        <v>0</v>
      </c>
      <c r="G50" s="92">
        <f>(G47*G48*G49)/100*(1/43560)</f>
        <v>0</v>
      </c>
      <c r="H50" s="129"/>
      <c r="I50" s="185" t="s">
        <v>123</v>
      </c>
      <c r="N50" s="29"/>
      <c r="O50" s="29"/>
    </row>
    <row r="51" spans="1:15" s="28" customFormat="1" x14ac:dyDescent="0.2">
      <c r="A51" s="30" t="s">
        <v>124</v>
      </c>
      <c r="B51" s="71" t="s">
        <v>125</v>
      </c>
      <c r="C51" s="97" t="s">
        <v>24</v>
      </c>
      <c r="D51" s="78"/>
      <c r="E51" s="78"/>
      <c r="F51" s="78"/>
      <c r="G51" s="78"/>
      <c r="H51" s="129"/>
      <c r="I51" s="129"/>
      <c r="N51" s="29"/>
      <c r="O51" s="29"/>
    </row>
    <row r="52" spans="1:15" s="28" customFormat="1" x14ac:dyDescent="0.2">
      <c r="A52" s="42"/>
      <c r="B52" s="71" t="s">
        <v>105</v>
      </c>
      <c r="C52" s="97" t="s">
        <v>24</v>
      </c>
      <c r="D52" s="92">
        <f>D51*0.02</f>
        <v>0</v>
      </c>
      <c r="E52" s="92">
        <f>E51*0.02</f>
        <v>0</v>
      </c>
      <c r="F52" s="92">
        <f>F51*0.02</f>
        <v>0</v>
      </c>
      <c r="G52" s="92">
        <f>G51*0.02</f>
        <v>0</v>
      </c>
      <c r="H52" s="129"/>
      <c r="I52" s="185" t="s">
        <v>126</v>
      </c>
      <c r="N52" s="29"/>
      <c r="O52" s="29"/>
    </row>
    <row r="53" spans="1:15" s="28" customFormat="1" x14ac:dyDescent="0.2">
      <c r="A53" s="30" t="s">
        <v>127</v>
      </c>
      <c r="B53" s="71" t="s">
        <v>125</v>
      </c>
      <c r="C53" s="97" t="s">
        <v>24</v>
      </c>
      <c r="D53" s="78"/>
      <c r="E53" s="78"/>
      <c r="F53" s="78"/>
      <c r="G53" s="78"/>
      <c r="H53" s="129"/>
      <c r="I53" s="129"/>
      <c r="N53" s="29"/>
      <c r="O53" s="29"/>
    </row>
    <row r="54" spans="1:15" s="28" customFormat="1" x14ac:dyDescent="0.2">
      <c r="A54" s="42"/>
      <c r="B54" s="71" t="s">
        <v>105</v>
      </c>
      <c r="C54" s="97" t="s">
        <v>24</v>
      </c>
      <c r="D54" s="92">
        <f>D53*0.05</f>
        <v>0</v>
      </c>
      <c r="E54" s="92">
        <f>E53*0.05</f>
        <v>0</v>
      </c>
      <c r="F54" s="92">
        <f>F53*0.05</f>
        <v>0</v>
      </c>
      <c r="G54" s="92">
        <f>G53*0.05</f>
        <v>0</v>
      </c>
      <c r="H54" s="129"/>
      <c r="I54" s="185" t="s">
        <v>128</v>
      </c>
      <c r="N54" s="29"/>
      <c r="O54" s="29"/>
    </row>
    <row r="55" spans="1:15" s="28" customFormat="1" x14ac:dyDescent="0.2">
      <c r="A55" s="42" t="s">
        <v>63</v>
      </c>
      <c r="B55" s="71" t="s">
        <v>129</v>
      </c>
      <c r="C55" s="97"/>
      <c r="D55" s="94">
        <f>D37+D40+D46+D50+D52+D54</f>
        <v>0</v>
      </c>
      <c r="E55" s="94">
        <f>E37+E40+E46+E50+E52+E54</f>
        <v>0</v>
      </c>
      <c r="F55" s="94">
        <f>F37+F40+F46+F50+F52+F54</f>
        <v>0</v>
      </c>
      <c r="G55" s="94">
        <f>G37+G40+G46+G50+G52+G54</f>
        <v>0</v>
      </c>
      <c r="H55" s="94">
        <f>H37+H40+H46+H50+H52+H54</f>
        <v>0</v>
      </c>
      <c r="N55" s="29"/>
      <c r="O55" s="29"/>
    </row>
    <row r="56" spans="1:15" s="28" customFormat="1" x14ac:dyDescent="0.2">
      <c r="A56" s="42"/>
      <c r="B56" s="71"/>
      <c r="C56" s="72"/>
      <c r="D56" s="177"/>
      <c r="E56" s="177"/>
      <c r="F56" s="177"/>
      <c r="G56" s="177"/>
      <c r="H56" s="178"/>
      <c r="N56" s="29"/>
      <c r="O56" s="29"/>
    </row>
    <row r="57" spans="1:15" s="28" customFormat="1" x14ac:dyDescent="0.2">
      <c r="A57" s="42" t="s">
        <v>130</v>
      </c>
      <c r="C57" s="97" t="s">
        <v>24</v>
      </c>
      <c r="D57" s="94">
        <f>D21-D55</f>
        <v>0</v>
      </c>
      <c r="E57" s="94">
        <f>E21-E55</f>
        <v>0</v>
      </c>
      <c r="F57" s="94">
        <f>F21-F55</f>
        <v>0</v>
      </c>
      <c r="G57" s="94">
        <f>G21-G55</f>
        <v>0</v>
      </c>
      <c r="H57" s="94">
        <f>H21-H55</f>
        <v>0</v>
      </c>
      <c r="I57" s="185" t="s">
        <v>131</v>
      </c>
      <c r="N57" s="29"/>
      <c r="O57" s="29"/>
    </row>
    <row r="58" spans="1:15" s="28" customFormat="1" x14ac:dyDescent="0.2">
      <c r="A58" s="45"/>
      <c r="C58" s="97" t="s">
        <v>54</v>
      </c>
      <c r="D58" s="119" t="e">
        <f>D57/D13*100</f>
        <v>#DIV/0!</v>
      </c>
      <c r="E58" s="119" t="e">
        <f>E57/E13*100</f>
        <v>#DIV/0!</v>
      </c>
      <c r="F58" s="119" t="e">
        <f>F57/F13*100</f>
        <v>#DIV/0!</v>
      </c>
      <c r="G58" s="119" t="e">
        <f>G57/G13*100</f>
        <v>#DIV/0!</v>
      </c>
      <c r="H58" s="119" t="e">
        <f>H57/H13*100</f>
        <v>#DIV/0!</v>
      </c>
      <c r="I58" s="185" t="s">
        <v>132</v>
      </c>
      <c r="N58" s="29"/>
      <c r="O58" s="29"/>
    </row>
    <row r="59" spans="1:15" s="28" customFormat="1" x14ac:dyDescent="0.2">
      <c r="A59" s="45"/>
      <c r="C59" s="72"/>
      <c r="D59" s="130"/>
      <c r="E59" s="130"/>
      <c r="F59" s="130"/>
      <c r="G59" s="130"/>
      <c r="H59" s="130"/>
      <c r="N59" s="29"/>
      <c r="O59" s="29"/>
    </row>
    <row r="60" spans="1:15" s="28" customFormat="1" x14ac:dyDescent="0.2">
      <c r="A60" s="168" t="s">
        <v>133</v>
      </c>
      <c r="B60" s="28" t="s">
        <v>134</v>
      </c>
      <c r="C60" s="72" t="s">
        <v>24</v>
      </c>
      <c r="D60" s="78"/>
      <c r="E60" s="78"/>
      <c r="F60" s="78"/>
      <c r="G60" s="78"/>
      <c r="H60" s="130"/>
      <c r="N60" s="29"/>
      <c r="O60" s="29"/>
    </row>
    <row r="61" spans="1:15" s="28" customFormat="1" x14ac:dyDescent="0.2">
      <c r="A61" s="41" t="s">
        <v>135</v>
      </c>
      <c r="C61" s="72" t="s">
        <v>24</v>
      </c>
      <c r="D61" s="94">
        <f>D13-D60</f>
        <v>0</v>
      </c>
      <c r="E61" s="94">
        <f>E13-E60</f>
        <v>0</v>
      </c>
      <c r="F61" s="94">
        <f>F13-F60</f>
        <v>0</v>
      </c>
      <c r="G61" s="94">
        <f>G13-G60</f>
        <v>0</v>
      </c>
      <c r="H61" s="131"/>
      <c r="I61" s="185" t="s">
        <v>136</v>
      </c>
      <c r="N61" s="29"/>
      <c r="O61" s="29"/>
    </row>
    <row r="62" spans="1:15" ht="12.75" x14ac:dyDescent="0.2">
      <c r="F62" s="42"/>
      <c r="G62" s="41"/>
      <c r="H62"/>
      <c r="I62" s="50"/>
    </row>
    <row r="63" spans="1:15" ht="12.75" x14ac:dyDescent="0.2">
      <c r="A63" s="107" t="s">
        <v>137</v>
      </c>
      <c r="B63" s="107"/>
      <c r="C63" s="107"/>
      <c r="D63" s="107"/>
      <c r="E63" s="107"/>
      <c r="F63" s="109"/>
      <c r="G63" s="110"/>
      <c r="H63"/>
      <c r="I63" s="50"/>
    </row>
    <row r="64" spans="1:15" ht="12.75" x14ac:dyDescent="0.2">
      <c r="A64" s="107" t="s">
        <v>138</v>
      </c>
      <c r="B64" s="107"/>
      <c r="C64" s="107"/>
      <c r="D64" s="107"/>
      <c r="E64" s="107"/>
      <c r="F64" s="109"/>
      <c r="G64" s="110"/>
      <c r="H64"/>
      <c r="I64" s="50"/>
    </row>
    <row r="65" spans="1:9" ht="12.75" x14ac:dyDescent="0.2">
      <c r="F65" s="42"/>
      <c r="G65" s="41"/>
      <c r="H65"/>
      <c r="I65" s="50"/>
    </row>
    <row r="66" spans="1:9" ht="12.75" x14ac:dyDescent="0.2">
      <c r="A66" s="49" t="s">
        <v>139</v>
      </c>
      <c r="C66" s="48" t="s">
        <v>140</v>
      </c>
      <c r="D66" s="28"/>
      <c r="E66" s="1"/>
      <c r="F66" s="1"/>
      <c r="G66"/>
      <c r="H66"/>
      <c r="I66" s="50"/>
    </row>
    <row r="67" spans="1:9" ht="12.75" x14ac:dyDescent="0.2">
      <c r="C67" s="47" t="s">
        <v>94</v>
      </c>
      <c r="D67" s="28"/>
      <c r="E67"/>
      <c r="F67"/>
      <c r="G67"/>
      <c r="H67"/>
      <c r="I67" s="50"/>
    </row>
    <row r="68" spans="1:9" ht="12.75" x14ac:dyDescent="0.2">
      <c r="C68" s="47" t="s">
        <v>95</v>
      </c>
      <c r="D68" s="28"/>
      <c r="E68"/>
      <c r="F68"/>
      <c r="G68"/>
      <c r="H68"/>
      <c r="I68" s="50"/>
    </row>
    <row r="69" spans="1:9" ht="12.75" x14ac:dyDescent="0.2">
      <c r="C69" s="49" t="s">
        <v>96</v>
      </c>
      <c r="D69" s="28"/>
      <c r="E69" s="1"/>
      <c r="F69" s="1"/>
      <c r="G69" s="1"/>
      <c r="H69" s="1"/>
      <c r="I69" s="50"/>
    </row>
    <row r="70" spans="1:9" x14ac:dyDescent="0.2">
      <c r="C70" s="28" t="s">
        <v>97</v>
      </c>
      <c r="D70" s="28"/>
      <c r="E70" s="28"/>
      <c r="F70" s="42"/>
      <c r="G70" s="29"/>
      <c r="H70" s="40"/>
      <c r="I70" s="50"/>
    </row>
    <row r="71" spans="1:9" x14ac:dyDescent="0.2">
      <c r="C71" s="28" t="s">
        <v>98</v>
      </c>
      <c r="D71" s="28"/>
      <c r="E71" s="28"/>
      <c r="F71" s="42"/>
      <c r="G71" s="29"/>
      <c r="H71" s="40"/>
      <c r="I71" s="50"/>
    </row>
    <row r="72" spans="1:9" x14ac:dyDescent="0.2">
      <c r="C72" s="28"/>
      <c r="D72" s="28"/>
      <c r="E72" s="28"/>
      <c r="F72" s="42"/>
      <c r="G72" s="29"/>
      <c r="H72" s="40"/>
      <c r="I72" s="50"/>
    </row>
    <row r="73" spans="1:9" x14ac:dyDescent="0.2">
      <c r="C73" s="49" t="s">
        <v>141</v>
      </c>
      <c r="D73" s="31"/>
      <c r="E73" s="39"/>
      <c r="F73" s="39"/>
      <c r="I73" s="50"/>
    </row>
    <row r="74" spans="1:9" ht="12.75" x14ac:dyDescent="0.2">
      <c r="F74" s="42"/>
      <c r="G74" s="41"/>
      <c r="H74"/>
      <c r="I74" s="50"/>
    </row>
    <row r="75" spans="1:9" ht="12.75" x14ac:dyDescent="0.2">
      <c r="A75" s="58" t="s">
        <v>142</v>
      </c>
      <c r="B75" s="63"/>
      <c r="F75" s="42"/>
      <c r="G75" s="41"/>
      <c r="H75"/>
      <c r="I75" s="50"/>
    </row>
    <row r="76" spans="1:9" ht="12.75" x14ac:dyDescent="0.2">
      <c r="A76" s="28"/>
      <c r="F76" s="42"/>
      <c r="G76" s="41"/>
      <c r="H76"/>
      <c r="I76" s="50"/>
    </row>
    <row r="77" spans="1:9" ht="12.75" x14ac:dyDescent="0.2">
      <c r="A77" s="28" t="s">
        <v>143</v>
      </c>
      <c r="C77" s="97" t="s">
        <v>144</v>
      </c>
      <c r="D77" s="92">
        <v>1.93</v>
      </c>
      <c r="E77" s="92">
        <v>1.93</v>
      </c>
      <c r="F77" s="92">
        <v>1.93</v>
      </c>
      <c r="G77" s="92">
        <v>1.93</v>
      </c>
      <c r="H77"/>
      <c r="I77" s="50"/>
    </row>
    <row r="78" spans="1:9" ht="12.75" x14ac:dyDescent="0.2">
      <c r="G78" s="30"/>
      <c r="H78"/>
      <c r="I78" s="50"/>
    </row>
    <row r="79" spans="1:9" ht="12.75" x14ac:dyDescent="0.2">
      <c r="A79" s="28" t="s">
        <v>145</v>
      </c>
      <c r="C79" s="97" t="s">
        <v>144</v>
      </c>
      <c r="D79" s="92" t="e">
        <f>(0.05+(0.0085*D58))*1.93</f>
        <v>#DIV/0!</v>
      </c>
      <c r="E79" s="92" t="e">
        <f>(0.05+(0.0085*E58))*1.93</f>
        <v>#DIV/0!</v>
      </c>
      <c r="F79" s="92" t="e">
        <f>(0.05+(0.0085*F58))*1.93</f>
        <v>#DIV/0!</v>
      </c>
      <c r="G79" s="92" t="e">
        <f>(0.05+(0.0085*G58))*1.93</f>
        <v>#DIV/0!</v>
      </c>
      <c r="H79"/>
      <c r="I79" s="186" t="s">
        <v>146</v>
      </c>
    </row>
    <row r="80" spans="1:9" ht="12.75" x14ac:dyDescent="0.2">
      <c r="A80" s="28"/>
      <c r="C80" s="28"/>
      <c r="D80" s="29"/>
      <c r="E80" s="29"/>
      <c r="F80" s="29"/>
      <c r="G80" s="29"/>
      <c r="H80"/>
      <c r="I80" s="50"/>
    </row>
    <row r="81" spans="1:9" ht="12.75" x14ac:dyDescent="0.2">
      <c r="A81" s="28" t="s">
        <v>147</v>
      </c>
      <c r="C81" s="97" t="s">
        <v>115</v>
      </c>
      <c r="D81" s="95" t="e">
        <f>D61*D79*43560/12</f>
        <v>#DIV/0!</v>
      </c>
      <c r="E81" s="95" t="e">
        <f>E61*E79*43560/12</f>
        <v>#DIV/0!</v>
      </c>
      <c r="F81" s="95" t="e">
        <f>F61*F79*43560/12</f>
        <v>#DIV/0!</v>
      </c>
      <c r="G81" s="95" t="e">
        <f>G61*G79*43560/12</f>
        <v>#DIV/0!</v>
      </c>
      <c r="H81"/>
      <c r="I81" s="186" t="s">
        <v>148</v>
      </c>
    </row>
    <row r="82" spans="1:9" ht="12.75" x14ac:dyDescent="0.2">
      <c r="A82" s="28"/>
      <c r="B82" s="28"/>
      <c r="C82" s="40"/>
      <c r="D82" s="28"/>
      <c r="F82" s="42"/>
      <c r="G82" s="41"/>
      <c r="H82"/>
      <c r="I82" s="50"/>
    </row>
    <row r="83" spans="1:9" ht="12.75" x14ac:dyDescent="0.2">
      <c r="A83" s="106" t="s">
        <v>149</v>
      </c>
      <c r="B83" s="106"/>
      <c r="C83" s="108"/>
      <c r="D83" s="106"/>
      <c r="E83" s="107"/>
      <c r="F83" s="109"/>
      <c r="G83" s="110"/>
      <c r="H83"/>
      <c r="I83" s="50"/>
    </row>
    <row r="84" spans="1:9" ht="12.75" x14ac:dyDescent="0.2">
      <c r="F84" s="42"/>
      <c r="G84" s="41"/>
      <c r="H84"/>
      <c r="I84" s="50"/>
    </row>
    <row r="85" spans="1:9" ht="12.75" x14ac:dyDescent="0.2">
      <c r="A85" s="106" t="s">
        <v>150</v>
      </c>
      <c r="B85" s="107"/>
      <c r="C85" s="106"/>
      <c r="D85" s="107"/>
      <c r="E85" s="107"/>
      <c r="F85" s="152"/>
      <c r="G85" s="41"/>
      <c r="H85"/>
      <c r="I85" s="50"/>
    </row>
    <row r="86" spans="1:9" ht="12.75" x14ac:dyDescent="0.2">
      <c r="A86" s="107" t="s">
        <v>151</v>
      </c>
      <c r="B86" s="107"/>
      <c r="C86" s="106"/>
      <c r="D86" s="107"/>
      <c r="E86" s="107"/>
      <c r="F86" s="152"/>
      <c r="G86" s="41"/>
      <c r="H86"/>
      <c r="I86" s="50"/>
    </row>
    <row r="87" spans="1:9" ht="12.75" x14ac:dyDescent="0.2">
      <c r="C87" s="28"/>
      <c r="F87" s="42"/>
      <c r="G87" s="41"/>
      <c r="H87"/>
      <c r="I87" s="50"/>
    </row>
    <row r="88" spans="1:9" ht="13.5" thickBot="1" x14ac:dyDescent="0.25">
      <c r="A88" s="104" t="s">
        <v>152</v>
      </c>
      <c r="B88" s="105"/>
      <c r="C88" s="104"/>
      <c r="D88" s="53"/>
      <c r="F88" s="42"/>
      <c r="G88" s="41"/>
      <c r="H88"/>
      <c r="I88" s="50"/>
    </row>
    <row r="89" spans="1:9" ht="12.75" x14ac:dyDescent="0.2">
      <c r="A89" s="30" t="s">
        <v>348</v>
      </c>
      <c r="B89" s="30" t="s">
        <v>154</v>
      </c>
      <c r="C89" s="97" t="s">
        <v>115</v>
      </c>
      <c r="D89" s="95" t="e">
        <f>D81*1.05</f>
        <v>#DIV/0!</v>
      </c>
      <c r="E89" s="124" t="e">
        <f>E81*1.05</f>
        <v>#DIV/0!</v>
      </c>
      <c r="F89" s="124" t="e">
        <f>F81*1.05</f>
        <v>#DIV/0!</v>
      </c>
      <c r="G89" s="124" t="e">
        <f>G81*1.05</f>
        <v>#DIV/0!</v>
      </c>
      <c r="H89"/>
      <c r="I89" s="50"/>
    </row>
    <row r="90" spans="1:9" ht="12.75" x14ac:dyDescent="0.2">
      <c r="A90" s="30" t="s">
        <v>155</v>
      </c>
      <c r="B90" s="30" t="s">
        <v>154</v>
      </c>
      <c r="C90" s="97" t="s">
        <v>115</v>
      </c>
      <c r="D90" s="95" t="e">
        <f>D81*1.05</f>
        <v>#DIV/0!</v>
      </c>
      <c r="E90" s="95" t="e">
        <f>E81*1.05</f>
        <v>#DIV/0!</v>
      </c>
      <c r="F90" s="95" t="e">
        <f>F81*1.05</f>
        <v>#DIV/0!</v>
      </c>
      <c r="G90" s="95" t="e">
        <f>G81*1.05</f>
        <v>#DIV/0!</v>
      </c>
      <c r="H90"/>
      <c r="I90" s="50"/>
    </row>
    <row r="91" spans="1:9" ht="12.75" x14ac:dyDescent="0.2">
      <c r="A91" s="30" t="s">
        <v>156</v>
      </c>
      <c r="B91" s="30" t="s">
        <v>154</v>
      </c>
      <c r="C91" s="97" t="s">
        <v>115</v>
      </c>
      <c r="D91" s="95" t="e">
        <f>1.85*D81</f>
        <v>#DIV/0!</v>
      </c>
      <c r="E91" s="95" t="e">
        <f>1.85*E81</f>
        <v>#DIV/0!</v>
      </c>
      <c r="F91" s="95" t="e">
        <f>1.85*F81</f>
        <v>#DIV/0!</v>
      </c>
      <c r="G91" s="95" t="e">
        <f>1.85*G81</f>
        <v>#DIV/0!</v>
      </c>
      <c r="H91"/>
      <c r="I91" s="50"/>
    </row>
    <row r="92" spans="1:9" ht="12.75" x14ac:dyDescent="0.2">
      <c r="A92" s="28"/>
      <c r="C92" s="28"/>
      <c r="F92" s="42"/>
      <c r="G92" s="41"/>
      <c r="H92"/>
      <c r="I92" s="50"/>
    </row>
    <row r="93" spans="1:9" ht="12.75" x14ac:dyDescent="0.2">
      <c r="A93" s="106" t="s">
        <v>157</v>
      </c>
      <c r="B93" s="107"/>
      <c r="C93" s="106"/>
      <c r="D93" s="107"/>
      <c r="F93" s="42"/>
      <c r="G93" s="41"/>
      <c r="H93"/>
      <c r="I93" s="50"/>
    </row>
    <row r="94" spans="1:9" ht="12.75" x14ac:dyDescent="0.2">
      <c r="A94" s="107" t="s">
        <v>158</v>
      </c>
      <c r="B94" s="107"/>
      <c r="C94" s="106"/>
      <c r="D94" s="107"/>
      <c r="F94" s="42"/>
      <c r="G94" s="41"/>
      <c r="H94"/>
      <c r="I94" s="50"/>
    </row>
    <row r="95" spans="1:9" ht="12.75" x14ac:dyDescent="0.2">
      <c r="B95" s="101"/>
      <c r="C95" s="28"/>
      <c r="F95" s="42"/>
      <c r="G95" s="41"/>
      <c r="H95"/>
      <c r="I95" s="50"/>
    </row>
    <row r="96" spans="1:9" ht="13.5" thickBot="1" x14ac:dyDescent="0.25">
      <c r="A96" s="104" t="s">
        <v>159</v>
      </c>
      <c r="B96" s="105"/>
      <c r="C96" s="104"/>
      <c r="D96" s="53"/>
      <c r="E96" s="53"/>
      <c r="F96" s="42"/>
      <c r="G96" s="41"/>
      <c r="H96"/>
      <c r="I96" s="50"/>
    </row>
    <row r="97" spans="1:9" ht="12.75" x14ac:dyDescent="0.2">
      <c r="A97" s="30" t="s">
        <v>160</v>
      </c>
      <c r="B97" s="30" t="s">
        <v>154</v>
      </c>
      <c r="C97" s="97" t="s">
        <v>115</v>
      </c>
      <c r="D97" s="102" t="e">
        <f>D81*1.05</f>
        <v>#DIV/0!</v>
      </c>
      <c r="E97" s="103" t="e">
        <f>E81*1.05</f>
        <v>#DIV/0!</v>
      </c>
      <c r="F97" s="124" t="e">
        <f>F81*1.05</f>
        <v>#DIV/0!</v>
      </c>
      <c r="G97" s="124" t="e">
        <f>G81*1.05</f>
        <v>#DIV/0!</v>
      </c>
      <c r="H97"/>
      <c r="I97" s="50"/>
    </row>
    <row r="98" spans="1:9" ht="12.75" x14ac:dyDescent="0.2">
      <c r="A98" s="30" t="s">
        <v>161</v>
      </c>
      <c r="B98" s="30" t="s">
        <v>154</v>
      </c>
      <c r="C98" s="97" t="s">
        <v>115</v>
      </c>
      <c r="D98" s="197" t="e">
        <f>D81*1.05</f>
        <v>#DIV/0!</v>
      </c>
      <c r="E98" s="197" t="e">
        <f>E81*1.05</f>
        <v>#DIV/0!</v>
      </c>
      <c r="F98" s="197" t="e">
        <f>F81*1.05</f>
        <v>#DIV/0!</v>
      </c>
      <c r="G98" s="197" t="e">
        <f>G81*1.05</f>
        <v>#DIV/0!</v>
      </c>
      <c r="H98"/>
      <c r="I98" s="50"/>
    </row>
    <row r="99" spans="1:9" ht="12.75" x14ac:dyDescent="0.2">
      <c r="A99" s="30" t="s">
        <v>162</v>
      </c>
      <c r="B99" s="30" t="s">
        <v>154</v>
      </c>
      <c r="C99" s="97" t="s">
        <v>115</v>
      </c>
      <c r="D99" s="96" t="e">
        <f>D81*1.55</f>
        <v>#DIV/0!</v>
      </c>
      <c r="E99" s="95" t="e">
        <f>E81*1.55</f>
        <v>#DIV/0!</v>
      </c>
      <c r="F99" s="96" t="e">
        <f>F81*1.55</f>
        <v>#DIV/0!</v>
      </c>
      <c r="G99" s="95" t="e">
        <f>G81*1.55</f>
        <v>#DIV/0!</v>
      </c>
      <c r="H99"/>
      <c r="I99" s="50"/>
    </row>
    <row r="100" spans="1:9" ht="12.75" x14ac:dyDescent="0.2">
      <c r="A100" s="30" t="s">
        <v>156</v>
      </c>
      <c r="B100" s="30" t="s">
        <v>154</v>
      </c>
      <c r="C100" s="97" t="s">
        <v>115</v>
      </c>
      <c r="D100" s="95" t="e">
        <f>1.85*D81</f>
        <v>#DIV/0!</v>
      </c>
      <c r="E100" s="95" t="e">
        <f>1.85*E81</f>
        <v>#DIV/0!</v>
      </c>
      <c r="F100" s="95" t="e">
        <f>1.85*F81</f>
        <v>#DIV/0!</v>
      </c>
      <c r="G100" s="95" t="e">
        <f>1.85*G81</f>
        <v>#DIV/0!</v>
      </c>
      <c r="H100"/>
      <c r="I100" s="50"/>
    </row>
    <row r="101" spans="1:9" ht="12.75" x14ac:dyDescent="0.2">
      <c r="A101" s="181" t="s">
        <v>163</v>
      </c>
      <c r="B101" s="182" t="s">
        <v>13</v>
      </c>
      <c r="C101" s="183" t="s">
        <v>113</v>
      </c>
      <c r="D101" s="95" t="e">
        <f>D81*0.17</f>
        <v>#DIV/0!</v>
      </c>
      <c r="E101" s="95" t="e">
        <f>E81*0.17</f>
        <v>#DIV/0!</v>
      </c>
      <c r="F101" s="95" t="e">
        <f>F81*0.17</f>
        <v>#DIV/0!</v>
      </c>
      <c r="G101" s="95" t="e">
        <f>G81*0.17</f>
        <v>#DIV/0!</v>
      </c>
      <c r="H101"/>
      <c r="I101" s="50"/>
    </row>
    <row r="102" spans="1:9" ht="12.75" x14ac:dyDescent="0.2">
      <c r="A102" s="180"/>
      <c r="B102" s="43"/>
      <c r="C102" s="28"/>
      <c r="F102" s="42"/>
      <c r="G102" s="41"/>
      <c r="H102"/>
      <c r="I102" s="50"/>
    </row>
    <row r="103" spans="1:9" ht="12.75" x14ac:dyDescent="0.2">
      <c r="A103" s="28" t="s">
        <v>164</v>
      </c>
      <c r="F103" s="42"/>
      <c r="G103" s="41"/>
      <c r="H103"/>
      <c r="I103" s="50"/>
    </row>
    <row r="104" spans="1:9" ht="12.75" x14ac:dyDescent="0.2">
      <c r="A104" s="28" t="s">
        <v>165</v>
      </c>
      <c r="F104" s="42"/>
      <c r="G104" s="41"/>
      <c r="H104"/>
      <c r="I104" s="50"/>
    </row>
    <row r="105" spans="1:9" ht="12.75" x14ac:dyDescent="0.2">
      <c r="A105" s="28"/>
      <c r="F105" s="42"/>
      <c r="G105" s="41"/>
      <c r="H105"/>
      <c r="I105" s="50"/>
    </row>
    <row r="106" spans="1:9" ht="12.75" x14ac:dyDescent="0.2">
      <c r="A106" s="117" t="s">
        <v>153</v>
      </c>
      <c r="F106" s="42"/>
      <c r="G106" s="41"/>
      <c r="H106"/>
      <c r="I106" s="50"/>
    </row>
    <row r="107" spans="1:9" ht="12.75" x14ac:dyDescent="0.2">
      <c r="A107" s="28" t="s">
        <v>166</v>
      </c>
      <c r="B107" s="30" t="s">
        <v>167</v>
      </c>
      <c r="C107" s="97" t="s">
        <v>113</v>
      </c>
      <c r="D107" s="95" t="e">
        <f>D81*1.05</f>
        <v>#DIV/0!</v>
      </c>
      <c r="E107" s="95" t="e">
        <f>E81*1.05</f>
        <v>#DIV/0!</v>
      </c>
      <c r="F107" s="95" t="e">
        <f>F81*1.05</f>
        <v>#DIV/0!</v>
      </c>
      <c r="G107" s="95" t="e">
        <f>G81*1.05</f>
        <v>#DIV/0!</v>
      </c>
      <c r="H107"/>
      <c r="I107" s="126" t="s">
        <v>168</v>
      </c>
    </row>
    <row r="108" spans="1:9" ht="12.75" x14ac:dyDescent="0.2">
      <c r="A108" s="28"/>
      <c r="B108" s="30" t="s">
        <v>169</v>
      </c>
      <c r="C108" s="97" t="s">
        <v>113</v>
      </c>
      <c r="D108" s="95" t="e">
        <f>D81*0.53</f>
        <v>#DIV/0!</v>
      </c>
      <c r="E108" s="95" t="e">
        <f>E81*0.53</f>
        <v>#DIV/0!</v>
      </c>
      <c r="F108" s="95" t="e">
        <f>F81*0.53</f>
        <v>#DIV/0!</v>
      </c>
      <c r="G108" s="95" t="e">
        <f>G81*0.53</f>
        <v>#DIV/0!</v>
      </c>
      <c r="H108"/>
      <c r="I108" s="126" t="s">
        <v>170</v>
      </c>
    </row>
    <row r="109" spans="1:9" ht="12.75" x14ac:dyDescent="0.2">
      <c r="A109" s="28"/>
      <c r="B109" s="30" t="s">
        <v>171</v>
      </c>
      <c r="C109" s="97" t="s">
        <v>113</v>
      </c>
      <c r="D109" s="95" t="e">
        <f>D81*0.35</f>
        <v>#DIV/0!</v>
      </c>
      <c r="E109" s="95" t="e">
        <f>E81*0.35</f>
        <v>#DIV/0!</v>
      </c>
      <c r="F109" s="95" t="e">
        <f>F81*0.35</f>
        <v>#DIV/0!</v>
      </c>
      <c r="G109" s="95" t="e">
        <f>G81*0.35</f>
        <v>#DIV/0!</v>
      </c>
      <c r="H109"/>
      <c r="I109" s="50"/>
    </row>
    <row r="110" spans="1:9" ht="12.75" x14ac:dyDescent="0.2">
      <c r="A110" s="28" t="s">
        <v>172</v>
      </c>
      <c r="B110" s="30" t="s">
        <v>167</v>
      </c>
      <c r="C110" s="97" t="s">
        <v>113</v>
      </c>
      <c r="D110" s="95" t="e">
        <f>D81*0.4</f>
        <v>#DIV/0!</v>
      </c>
      <c r="E110" s="95" t="e">
        <f>E81*0.4</f>
        <v>#DIV/0!</v>
      </c>
      <c r="F110" s="95" t="e">
        <f>F81*0.4</f>
        <v>#DIV/0!</v>
      </c>
      <c r="G110" s="95" t="e">
        <f>G81*0.4</f>
        <v>#DIV/0!</v>
      </c>
      <c r="H110"/>
    </row>
    <row r="111" spans="1:9" ht="12.75" x14ac:dyDescent="0.2">
      <c r="A111" s="28"/>
      <c r="B111" s="30" t="s">
        <v>169</v>
      </c>
      <c r="C111" s="97" t="s">
        <v>113</v>
      </c>
      <c r="D111" s="95" t="e">
        <f>D81*0.2</f>
        <v>#DIV/0!</v>
      </c>
      <c r="E111" s="95" t="e">
        <f>E81*0.2</f>
        <v>#DIV/0!</v>
      </c>
      <c r="F111" s="95" t="e">
        <f>F81*0.2</f>
        <v>#DIV/0!</v>
      </c>
      <c r="G111" s="95" t="e">
        <f>G81*0.2</f>
        <v>#DIV/0!</v>
      </c>
      <c r="H111"/>
    </row>
    <row r="112" spans="1:9" ht="12.75" x14ac:dyDescent="0.2">
      <c r="A112" s="28"/>
      <c r="B112" s="30" t="s">
        <v>171</v>
      </c>
      <c r="C112" s="97" t="s">
        <v>113</v>
      </c>
      <c r="D112" s="95" t="e">
        <f>D81*0.13</f>
        <v>#DIV/0!</v>
      </c>
      <c r="E112" s="95" t="e">
        <f>E81*0.13</f>
        <v>#DIV/0!</v>
      </c>
      <c r="F112" s="95" t="e">
        <f>F81*0.13</f>
        <v>#DIV/0!</v>
      </c>
      <c r="G112" s="95" t="e">
        <f>G81*0.13</f>
        <v>#DIV/0!</v>
      </c>
      <c r="H112"/>
      <c r="I112" s="50"/>
    </row>
    <row r="113" spans="1:9" ht="12.75" x14ac:dyDescent="0.2">
      <c r="A113" s="28"/>
      <c r="B113" s="30" t="s">
        <v>173</v>
      </c>
      <c r="C113" s="97" t="s">
        <v>115</v>
      </c>
      <c r="D113" s="95" t="e">
        <f>D81*0.044</f>
        <v>#DIV/0!</v>
      </c>
      <c r="E113" s="95" t="e">
        <f>E81*0.044</f>
        <v>#DIV/0!</v>
      </c>
      <c r="F113" s="95" t="e">
        <f>F81*0.044</f>
        <v>#DIV/0!</v>
      </c>
      <c r="G113" s="95" t="e">
        <f>G81*0.044</f>
        <v>#DIV/0!</v>
      </c>
      <c r="H113"/>
      <c r="I113" s="50"/>
    </row>
    <row r="114" spans="1:9" ht="12.75" x14ac:dyDescent="0.2">
      <c r="A114" s="28"/>
      <c r="B114" s="30" t="s">
        <v>174</v>
      </c>
      <c r="C114" s="97" t="s">
        <v>115</v>
      </c>
      <c r="D114" s="95" t="e">
        <f>D81*0.058</f>
        <v>#DIV/0!</v>
      </c>
      <c r="E114" s="95" t="e">
        <f>E81*0.058</f>
        <v>#DIV/0!</v>
      </c>
      <c r="F114" s="95" t="e">
        <f>F81*0.058</f>
        <v>#DIV/0!</v>
      </c>
      <c r="G114" s="95" t="e">
        <f>G81*0.058</f>
        <v>#DIV/0!</v>
      </c>
      <c r="H114"/>
      <c r="I114" s="50"/>
    </row>
    <row r="115" spans="1:9" ht="12.75" x14ac:dyDescent="0.2">
      <c r="A115" s="28"/>
      <c r="B115" s="30" t="s">
        <v>175</v>
      </c>
      <c r="C115" s="97" t="s">
        <v>54</v>
      </c>
      <c r="D115" s="188"/>
      <c r="E115" s="188"/>
      <c r="F115" s="188"/>
      <c r="G115" s="188"/>
      <c r="H115"/>
      <c r="I115" s="151" t="s">
        <v>176</v>
      </c>
    </row>
    <row r="116" spans="1:9" ht="12.75" x14ac:dyDescent="0.2">
      <c r="A116" s="28"/>
      <c r="B116" s="30" t="s">
        <v>177</v>
      </c>
      <c r="C116" s="97" t="s">
        <v>115</v>
      </c>
      <c r="D116" s="95" t="e">
        <f>((1-(D115/100))*D81*0.03)/0.35</f>
        <v>#DIV/0!</v>
      </c>
      <c r="E116" s="95" t="e">
        <f>((1-(E115/100))*E81*0.03)/0.35</f>
        <v>#DIV/0!</v>
      </c>
      <c r="F116" s="95" t="e">
        <f>((1-(F115/100))*F81*0.03)/0.35</f>
        <v>#DIV/0!</v>
      </c>
      <c r="G116" s="95" t="e">
        <f>((1-(G115/100))*G81*0.03)/0.35</f>
        <v>#DIV/0!</v>
      </c>
      <c r="H116"/>
      <c r="I116" s="151" t="s">
        <v>178</v>
      </c>
    </row>
    <row r="117" spans="1:9" ht="12.75" x14ac:dyDescent="0.2">
      <c r="A117" s="28"/>
      <c r="B117" s="30" t="s">
        <v>179</v>
      </c>
      <c r="C117" s="72" t="s">
        <v>180</v>
      </c>
      <c r="D117" s="95" t="e">
        <f>(1-(D115/100))*D81*0.006</f>
        <v>#DIV/0!</v>
      </c>
      <c r="E117" s="95" t="e">
        <f>(1-(E115/100))*E81*0.006</f>
        <v>#DIV/0!</v>
      </c>
      <c r="F117" s="95" t="e">
        <f>(1-(F115/100))*F81*0.006</f>
        <v>#DIV/0!</v>
      </c>
      <c r="G117" s="95" t="e">
        <f>(1-(G115/100))*G81*0.006</f>
        <v>#DIV/0!</v>
      </c>
      <c r="H117"/>
      <c r="I117" s="151"/>
    </row>
    <row r="118" spans="1:9" ht="12.75" x14ac:dyDescent="0.2">
      <c r="A118" s="191" t="s">
        <v>181</v>
      </c>
      <c r="C118" s="72"/>
      <c r="D118" s="179"/>
      <c r="E118" s="179"/>
      <c r="F118" s="179"/>
      <c r="G118" s="179"/>
      <c r="H118"/>
      <c r="I118" s="167"/>
    </row>
    <row r="119" spans="1:9" ht="12.75" x14ac:dyDescent="0.2">
      <c r="A119" s="28" t="s">
        <v>166</v>
      </c>
      <c r="B119" s="30" t="s">
        <v>167</v>
      </c>
      <c r="C119" s="72" t="s">
        <v>113</v>
      </c>
      <c r="D119" s="192" t="e">
        <f>D81*0.63</f>
        <v>#DIV/0!</v>
      </c>
      <c r="E119" s="193" t="e">
        <f>E81*0.63</f>
        <v>#DIV/0!</v>
      </c>
      <c r="F119" s="193" t="e">
        <f>F81*0.63</f>
        <v>#DIV/0!</v>
      </c>
      <c r="G119" s="96" t="e">
        <f>G81*0.63</f>
        <v>#DIV/0!</v>
      </c>
      <c r="H119"/>
      <c r="I119" s="167"/>
    </row>
    <row r="120" spans="1:9" ht="12.75" x14ac:dyDescent="0.2">
      <c r="A120" s="28"/>
      <c r="B120" s="30" t="s">
        <v>169</v>
      </c>
      <c r="C120" s="72" t="s">
        <v>113</v>
      </c>
      <c r="D120" s="192" t="e">
        <f>D81*0.32</f>
        <v>#DIV/0!</v>
      </c>
      <c r="E120" s="193" t="e">
        <f>E81*0.32</f>
        <v>#DIV/0!</v>
      </c>
      <c r="F120" s="193" t="e">
        <f>F81*0.32</f>
        <v>#DIV/0!</v>
      </c>
      <c r="G120" s="96" t="e">
        <f>G81*0.32</f>
        <v>#DIV/0!</v>
      </c>
      <c r="H120"/>
      <c r="I120" s="167"/>
    </row>
    <row r="121" spans="1:9" ht="12.75" x14ac:dyDescent="0.2">
      <c r="A121" s="28"/>
      <c r="B121" s="30" t="s">
        <v>171</v>
      </c>
      <c r="C121" s="72" t="s">
        <v>113</v>
      </c>
      <c r="D121" s="192" t="e">
        <f>D81*0.24</f>
        <v>#DIV/0!</v>
      </c>
      <c r="E121" s="193" t="e">
        <f>E81*0.24</f>
        <v>#DIV/0!</v>
      </c>
      <c r="F121" s="193" t="e">
        <f>F81*0.24</f>
        <v>#DIV/0!</v>
      </c>
      <c r="G121" s="96" t="e">
        <f>G81*0.24</f>
        <v>#DIV/0!</v>
      </c>
      <c r="H121"/>
      <c r="I121" s="167"/>
    </row>
    <row r="122" spans="1:9" ht="12.75" x14ac:dyDescent="0.2">
      <c r="A122" s="28" t="s">
        <v>172</v>
      </c>
      <c r="B122" s="30" t="s">
        <v>167</v>
      </c>
      <c r="C122" s="72" t="s">
        <v>113</v>
      </c>
      <c r="D122" s="192" t="e">
        <f>D81*0.24</f>
        <v>#DIV/0!</v>
      </c>
      <c r="E122" s="193" t="e">
        <f>E81*0.24</f>
        <v>#DIV/0!</v>
      </c>
      <c r="F122" s="193" t="e">
        <f>F81*0.24</f>
        <v>#DIV/0!</v>
      </c>
      <c r="G122" s="96" t="e">
        <f>G81*0.24</f>
        <v>#DIV/0!</v>
      </c>
      <c r="H122"/>
      <c r="I122" s="167"/>
    </row>
    <row r="123" spans="1:9" ht="12.75" x14ac:dyDescent="0.2">
      <c r="A123" s="28"/>
      <c r="B123" s="30" t="s">
        <v>169</v>
      </c>
      <c r="C123" s="72" t="s">
        <v>113</v>
      </c>
      <c r="D123" s="192" t="e">
        <f>D81*0.12</f>
        <v>#DIV/0!</v>
      </c>
      <c r="E123" s="193" t="e">
        <f>E81*0.12</f>
        <v>#DIV/0!</v>
      </c>
      <c r="F123" s="193" t="e">
        <f>F81*0.12</f>
        <v>#DIV/0!</v>
      </c>
      <c r="G123" s="96" t="e">
        <f>G81*0.12</f>
        <v>#DIV/0!</v>
      </c>
      <c r="H123"/>
      <c r="I123" s="167"/>
    </row>
    <row r="124" spans="1:9" ht="12.75" x14ac:dyDescent="0.2">
      <c r="A124" s="28"/>
      <c r="B124" s="30" t="s">
        <v>171</v>
      </c>
      <c r="C124" s="72" t="s">
        <v>113</v>
      </c>
      <c r="D124" s="192" t="e">
        <f>D81*0.08</f>
        <v>#DIV/0!</v>
      </c>
      <c r="E124" s="193" t="e">
        <f>E81*0.08</f>
        <v>#DIV/0!</v>
      </c>
      <c r="F124" s="193" t="e">
        <f>F81*0.08</f>
        <v>#DIV/0!</v>
      </c>
      <c r="G124" s="96" t="e">
        <f>G81*0.08</f>
        <v>#DIV/0!</v>
      </c>
      <c r="H124"/>
      <c r="I124" s="167"/>
    </row>
    <row r="125" spans="1:9" ht="12.75" x14ac:dyDescent="0.2">
      <c r="A125" s="28"/>
      <c r="B125" s="30" t="s">
        <v>173</v>
      </c>
      <c r="C125" s="72" t="s">
        <v>115</v>
      </c>
      <c r="D125" s="192" t="e">
        <f>D81*0.027</f>
        <v>#DIV/0!</v>
      </c>
      <c r="E125" s="193" t="e">
        <f>E81*0.027</f>
        <v>#DIV/0!</v>
      </c>
      <c r="F125" s="193" t="e">
        <f>F81*0.027</f>
        <v>#DIV/0!</v>
      </c>
      <c r="G125" s="96" t="e">
        <f>G81*0.027</f>
        <v>#DIV/0!</v>
      </c>
      <c r="H125"/>
      <c r="I125" s="167"/>
    </row>
    <row r="126" spans="1:9" ht="12.75" x14ac:dyDescent="0.2">
      <c r="A126" s="28"/>
      <c r="B126" s="30" t="s">
        <v>174</v>
      </c>
      <c r="C126" s="72" t="s">
        <v>115</v>
      </c>
      <c r="D126" s="192" t="e">
        <f>D81*0.036</f>
        <v>#DIV/0!</v>
      </c>
      <c r="E126" s="193" t="e">
        <f>E81*0.036</f>
        <v>#DIV/0!</v>
      </c>
      <c r="F126" s="193" t="e">
        <f>F81*0.036</f>
        <v>#DIV/0!</v>
      </c>
      <c r="G126" s="96" t="e">
        <f>G81*0.036</f>
        <v>#DIV/0!</v>
      </c>
      <c r="H126"/>
      <c r="I126" s="167"/>
    </row>
    <row r="127" spans="1:9" ht="12.75" x14ac:dyDescent="0.2">
      <c r="A127" s="28"/>
      <c r="B127" s="30" t="s">
        <v>175</v>
      </c>
      <c r="C127" s="72" t="s">
        <v>54</v>
      </c>
      <c r="D127" s="194"/>
      <c r="E127" s="195"/>
      <c r="F127" s="195"/>
      <c r="G127" s="196"/>
      <c r="H127"/>
      <c r="I127" s="167"/>
    </row>
    <row r="128" spans="1:9" ht="12.75" x14ac:dyDescent="0.2">
      <c r="A128" s="28"/>
      <c r="B128" s="30" t="s">
        <v>177</v>
      </c>
      <c r="C128" s="72" t="s">
        <v>115</v>
      </c>
      <c r="D128" s="192" t="e">
        <f>((1-(D115/100))*D81*0.019)/0.35</f>
        <v>#DIV/0!</v>
      </c>
      <c r="E128" s="193" t="e">
        <f>((1-(E115/100))*E81*0.019)/0.35</f>
        <v>#DIV/0!</v>
      </c>
      <c r="F128" s="193" t="e">
        <f>((1-(F115/100))*F81*0.019)/0.35</f>
        <v>#DIV/0!</v>
      </c>
      <c r="G128" s="96" t="e">
        <f>((1-(G115/100))*G81*0.019)/0.35</f>
        <v>#DIV/0!</v>
      </c>
      <c r="H128"/>
      <c r="I128" s="167"/>
    </row>
    <row r="129" spans="1:9" ht="12.75" x14ac:dyDescent="0.2">
      <c r="A129" s="28"/>
      <c r="B129" s="30" t="s">
        <v>179</v>
      </c>
      <c r="C129" s="72" t="s">
        <v>180</v>
      </c>
      <c r="D129" s="192" t="e">
        <f>(1-(D115/100))*D81*0.004</f>
        <v>#DIV/0!</v>
      </c>
      <c r="E129" s="193" t="e">
        <f>(1-(E115/100))*E81*0.004</f>
        <v>#DIV/0!</v>
      </c>
      <c r="F129" s="193" t="e">
        <f>(1-(F115/100))*F81*0.004</f>
        <v>#DIV/0!</v>
      </c>
      <c r="G129" s="96" t="e">
        <f>(1-(G115/100))*G81*0.004</f>
        <v>#DIV/0!</v>
      </c>
      <c r="H129"/>
      <c r="I129" s="167"/>
    </row>
    <row r="130" spans="1:9" ht="12.75" x14ac:dyDescent="0.2">
      <c r="A130" s="117" t="s">
        <v>155</v>
      </c>
      <c r="D130" s="43"/>
      <c r="E130" s="43"/>
      <c r="F130" s="43"/>
      <c r="G130" s="43"/>
      <c r="H130"/>
      <c r="I130" s="50"/>
    </row>
    <row r="131" spans="1:9" ht="12.75" x14ac:dyDescent="0.2">
      <c r="A131" s="28" t="s">
        <v>166</v>
      </c>
      <c r="B131" s="30" t="s">
        <v>167</v>
      </c>
      <c r="C131" s="97" t="s">
        <v>113</v>
      </c>
      <c r="D131" s="95" t="e">
        <f>D81*0.77</f>
        <v>#DIV/0!</v>
      </c>
      <c r="E131" s="95" t="e">
        <f>E81*0.77</f>
        <v>#DIV/0!</v>
      </c>
      <c r="F131" s="95" t="e">
        <f>F81*0.77</f>
        <v>#DIV/0!</v>
      </c>
      <c r="G131" s="95" t="e">
        <f>G81*0.77</f>
        <v>#DIV/0!</v>
      </c>
      <c r="H131"/>
      <c r="I131" s="126" t="s">
        <v>182</v>
      </c>
    </row>
    <row r="132" spans="1:9" ht="12.75" x14ac:dyDescent="0.2">
      <c r="A132" s="28"/>
      <c r="B132" s="30" t="s">
        <v>169</v>
      </c>
      <c r="C132" s="97" t="s">
        <v>113</v>
      </c>
      <c r="D132" s="95" t="e">
        <f>D81*0.39</f>
        <v>#DIV/0!</v>
      </c>
      <c r="E132" s="95" t="e">
        <f>E81*0.39</f>
        <v>#DIV/0!</v>
      </c>
      <c r="F132" s="95" t="e">
        <f>F81*0.39</f>
        <v>#DIV/0!</v>
      </c>
      <c r="G132" s="95" t="e">
        <f>G81*0.39</f>
        <v>#DIV/0!</v>
      </c>
      <c r="H132"/>
      <c r="I132" s="126" t="s">
        <v>183</v>
      </c>
    </row>
    <row r="133" spans="1:9" ht="12.75" x14ac:dyDescent="0.2">
      <c r="A133" s="28"/>
      <c r="B133" s="30" t="s">
        <v>171</v>
      </c>
      <c r="C133" s="97" t="s">
        <v>113</v>
      </c>
      <c r="D133" s="95" t="e">
        <f>D81*0.26</f>
        <v>#DIV/0!</v>
      </c>
      <c r="E133" s="95" t="e">
        <f>E81*0.26</f>
        <v>#DIV/0!</v>
      </c>
      <c r="F133" s="95" t="e">
        <f>F81*0.26</f>
        <v>#DIV/0!</v>
      </c>
      <c r="G133" s="95" t="e">
        <f>G81*0.26</f>
        <v>#DIV/0!</v>
      </c>
      <c r="H133"/>
      <c r="I133" s="126" t="s">
        <v>184</v>
      </c>
    </row>
    <row r="134" spans="1:9" ht="12.75" x14ac:dyDescent="0.2">
      <c r="A134" s="28" t="s">
        <v>172</v>
      </c>
      <c r="B134" s="30" t="s">
        <v>167</v>
      </c>
      <c r="C134" s="97" t="s">
        <v>113</v>
      </c>
      <c r="D134" s="95" t="e">
        <f>D81*0.3</f>
        <v>#DIV/0!</v>
      </c>
      <c r="E134" s="95" t="e">
        <f>E81*0.3</f>
        <v>#DIV/0!</v>
      </c>
      <c r="F134" s="95" t="e">
        <f>F81*0.3</f>
        <v>#DIV/0!</v>
      </c>
      <c r="G134" s="95" t="e">
        <f>G81*0.3</f>
        <v>#DIV/0!</v>
      </c>
      <c r="H134"/>
      <c r="I134" s="50"/>
    </row>
    <row r="135" spans="1:9" ht="12.75" x14ac:dyDescent="0.2">
      <c r="A135" s="28"/>
      <c r="B135" s="30" t="s">
        <v>169</v>
      </c>
      <c r="C135" s="97" t="s">
        <v>113</v>
      </c>
      <c r="D135" s="95" t="e">
        <f>D81*0.15</f>
        <v>#DIV/0!</v>
      </c>
      <c r="E135" s="95" t="e">
        <f>E81*0.15</f>
        <v>#DIV/0!</v>
      </c>
      <c r="F135" s="95" t="e">
        <f>F81*0.15</f>
        <v>#DIV/0!</v>
      </c>
      <c r="G135" s="95" t="e">
        <f>G81*0.15</f>
        <v>#DIV/0!</v>
      </c>
      <c r="H135"/>
      <c r="I135" s="50"/>
    </row>
    <row r="136" spans="1:9" ht="12.75" x14ac:dyDescent="0.2">
      <c r="A136" s="28"/>
      <c r="B136" s="30" t="s">
        <v>171</v>
      </c>
      <c r="C136" s="97" t="s">
        <v>113</v>
      </c>
      <c r="D136" s="95" t="e">
        <f>D81*0.1</f>
        <v>#DIV/0!</v>
      </c>
      <c r="E136" s="95" t="e">
        <f>E81*0.1</f>
        <v>#DIV/0!</v>
      </c>
      <c r="F136" s="95" t="e">
        <f>F81*0.1</f>
        <v>#DIV/0!</v>
      </c>
      <c r="G136" s="95" t="e">
        <f>G81*0.1</f>
        <v>#DIV/0!</v>
      </c>
      <c r="H136"/>
      <c r="I136" s="50"/>
    </row>
    <row r="137" spans="1:9" ht="12.75" x14ac:dyDescent="0.2">
      <c r="A137" s="28"/>
      <c r="B137" s="30" t="s">
        <v>173</v>
      </c>
      <c r="C137" s="97" t="s">
        <v>115</v>
      </c>
      <c r="D137" s="95" t="e">
        <f>D81*0.033</f>
        <v>#DIV/0!</v>
      </c>
      <c r="E137" s="95" t="e">
        <f>E81*0.033</f>
        <v>#DIV/0!</v>
      </c>
      <c r="F137" s="95" t="e">
        <f>F81*0.033</f>
        <v>#DIV/0!</v>
      </c>
      <c r="G137" s="95" t="e">
        <f>G81*0.033</f>
        <v>#DIV/0!</v>
      </c>
      <c r="H137"/>
      <c r="I137" s="50"/>
    </row>
    <row r="138" spans="1:9" ht="12.75" x14ac:dyDescent="0.2">
      <c r="A138" s="28"/>
      <c r="B138" s="30" t="s">
        <v>174</v>
      </c>
      <c r="C138" s="97" t="s">
        <v>115</v>
      </c>
      <c r="D138" s="95" t="e">
        <f>D81*0.044</f>
        <v>#DIV/0!</v>
      </c>
      <c r="E138" s="95" t="e">
        <f>E81*0.044</f>
        <v>#DIV/0!</v>
      </c>
      <c r="F138" s="95" t="e">
        <f>F81*0.044</f>
        <v>#DIV/0!</v>
      </c>
      <c r="G138" s="95" t="e">
        <f>G81*0.044</f>
        <v>#DIV/0!</v>
      </c>
      <c r="H138"/>
    </row>
    <row r="139" spans="1:9" ht="12.75" x14ac:dyDescent="0.2">
      <c r="A139" s="28"/>
      <c r="B139" s="30" t="s">
        <v>175</v>
      </c>
      <c r="C139" s="97" t="s">
        <v>54</v>
      </c>
      <c r="D139" s="188"/>
      <c r="E139" s="188"/>
      <c r="F139" s="188"/>
      <c r="G139" s="188"/>
      <c r="H139"/>
      <c r="I139" s="151" t="s">
        <v>176</v>
      </c>
    </row>
    <row r="140" spans="1:9" ht="12.75" x14ac:dyDescent="0.2">
      <c r="A140" s="28"/>
      <c r="B140" s="30" t="s">
        <v>177</v>
      </c>
      <c r="C140" s="97" t="s">
        <v>115</v>
      </c>
      <c r="D140" s="95" t="e">
        <f>((1-(D139/100))*D81*0.023)/0.35</f>
        <v>#DIV/0!</v>
      </c>
      <c r="E140" s="95" t="e">
        <f>((1-(E139/100))*E81*0.023)/0.35</f>
        <v>#DIV/0!</v>
      </c>
      <c r="F140" s="95" t="e">
        <f>((1-(F139/100))*F81*0.023)/0.35</f>
        <v>#DIV/0!</v>
      </c>
      <c r="G140" s="95" t="e">
        <f>((1-(G139/100))*G81*0.023)/0.35</f>
        <v>#DIV/0!</v>
      </c>
      <c r="H140"/>
      <c r="I140" s="151" t="s">
        <v>178</v>
      </c>
    </row>
    <row r="141" spans="1:9" ht="12.75" x14ac:dyDescent="0.2">
      <c r="A141" s="28"/>
      <c r="B141" s="30" t="s">
        <v>179</v>
      </c>
      <c r="C141" s="72" t="s">
        <v>180</v>
      </c>
      <c r="D141" s="95" t="e">
        <f>(1-(D139/100))*D81*0.0045</f>
        <v>#DIV/0!</v>
      </c>
      <c r="E141" s="95" t="e">
        <f>(1-(E139/100))*E81*0.0045</f>
        <v>#DIV/0!</v>
      </c>
      <c r="F141" s="95" t="e">
        <f>(1-(F139/100))*F81*0.0045</f>
        <v>#DIV/0!</v>
      </c>
      <c r="G141" s="95" t="e">
        <f>(1-(G139/100))*G81*0.0045</f>
        <v>#DIV/0!</v>
      </c>
      <c r="H141"/>
      <c r="I141" s="151"/>
    </row>
    <row r="142" spans="1:9" ht="12.75" x14ac:dyDescent="0.2">
      <c r="A142" s="117" t="s">
        <v>156</v>
      </c>
      <c r="D142" s="43"/>
      <c r="E142" s="43"/>
      <c r="F142" s="43"/>
      <c r="G142" s="43"/>
      <c r="H142"/>
      <c r="I142" s="167"/>
    </row>
    <row r="143" spans="1:9" ht="12.75" x14ac:dyDescent="0.2">
      <c r="A143" s="28" t="s">
        <v>166</v>
      </c>
      <c r="B143" s="30" t="s">
        <v>167</v>
      </c>
      <c r="C143" s="97" t="s">
        <v>113</v>
      </c>
      <c r="D143" s="95" t="e">
        <f>D81*0.69</f>
        <v>#DIV/0!</v>
      </c>
      <c r="E143" s="95" t="e">
        <f>E81*0.69</f>
        <v>#DIV/0!</v>
      </c>
      <c r="F143" s="95" t="e">
        <f>F81*0.69</f>
        <v>#DIV/0!</v>
      </c>
      <c r="G143" s="95" t="e">
        <f>G81*0.69</f>
        <v>#DIV/0!</v>
      </c>
      <c r="H143"/>
      <c r="I143" s="167"/>
    </row>
    <row r="144" spans="1:9" ht="12.75" x14ac:dyDescent="0.2">
      <c r="A144" s="28"/>
      <c r="B144" s="30" t="s">
        <v>169</v>
      </c>
      <c r="C144" s="97" t="s">
        <v>113</v>
      </c>
      <c r="D144" s="95" t="e">
        <f>D81*0.35</f>
        <v>#DIV/0!</v>
      </c>
      <c r="E144" s="95" t="e">
        <f>E81*0.35</f>
        <v>#DIV/0!</v>
      </c>
      <c r="F144" s="95" t="e">
        <f>F81*0.35</f>
        <v>#DIV/0!</v>
      </c>
      <c r="G144" s="95" t="e">
        <f>G81*0.35</f>
        <v>#DIV/0!</v>
      </c>
      <c r="H144"/>
      <c r="I144" s="50"/>
    </row>
    <row r="145" spans="1:9" ht="12.75" x14ac:dyDescent="0.2">
      <c r="A145" s="28"/>
      <c r="B145" s="30" t="s">
        <v>171</v>
      </c>
      <c r="C145" s="97" t="s">
        <v>113</v>
      </c>
      <c r="D145" s="95" t="e">
        <f>D81*0.23</f>
        <v>#DIV/0!</v>
      </c>
      <c r="E145" s="95" t="e">
        <f>E81*0.23</f>
        <v>#DIV/0!</v>
      </c>
      <c r="F145" s="95" t="e">
        <f>F81*0.23</f>
        <v>#DIV/0!</v>
      </c>
      <c r="G145" s="95" t="e">
        <f>G81*0.23</f>
        <v>#DIV/0!</v>
      </c>
      <c r="H145"/>
      <c r="I145" s="50"/>
    </row>
    <row r="146" spans="1:9" ht="12.75" x14ac:dyDescent="0.2">
      <c r="A146" s="28" t="s">
        <v>172</v>
      </c>
      <c r="B146" s="30" t="s">
        <v>167</v>
      </c>
      <c r="C146" s="97" t="s">
        <v>113</v>
      </c>
      <c r="D146" s="95" t="e">
        <f>D81*0.26</f>
        <v>#DIV/0!</v>
      </c>
      <c r="E146" s="95" t="e">
        <f>E81*0.26</f>
        <v>#DIV/0!</v>
      </c>
      <c r="F146" s="95" t="e">
        <f>F81*0.26</f>
        <v>#DIV/0!</v>
      </c>
      <c r="G146" s="95" t="e">
        <f>G81*0.26</f>
        <v>#DIV/0!</v>
      </c>
      <c r="H146"/>
      <c r="I146" s="50"/>
    </row>
    <row r="147" spans="1:9" ht="12.75" x14ac:dyDescent="0.2">
      <c r="A147" s="28"/>
      <c r="B147" s="30" t="s">
        <v>169</v>
      </c>
      <c r="C147" s="97" t="s">
        <v>113</v>
      </c>
      <c r="D147" s="95" t="e">
        <f>D81*0.13</f>
        <v>#DIV/0!</v>
      </c>
      <c r="E147" s="95" t="e">
        <f>E81*0.13</f>
        <v>#DIV/0!</v>
      </c>
      <c r="F147" s="95" t="e">
        <f>F81*0.13</f>
        <v>#DIV/0!</v>
      </c>
      <c r="G147" s="95" t="e">
        <f>G81*0.13</f>
        <v>#DIV/0!</v>
      </c>
      <c r="H147"/>
      <c r="I147" s="50"/>
    </row>
    <row r="148" spans="1:9" ht="12.75" x14ac:dyDescent="0.2">
      <c r="A148" s="28"/>
      <c r="B148" s="30" t="s">
        <v>171</v>
      </c>
      <c r="C148" s="97" t="s">
        <v>113</v>
      </c>
      <c r="D148" s="95" t="e">
        <f>D81*0.09</f>
        <v>#DIV/0!</v>
      </c>
      <c r="E148" s="95" t="e">
        <f>E81*0.09</f>
        <v>#DIV/0!</v>
      </c>
      <c r="F148" s="95" t="e">
        <f>F81*0.09</f>
        <v>#DIV/0!</v>
      </c>
      <c r="G148" s="95" t="e">
        <f>G81*0.09</f>
        <v>#DIV/0!</v>
      </c>
      <c r="H148"/>
      <c r="I148" s="50"/>
    </row>
    <row r="149" spans="1:9" ht="12.75" x14ac:dyDescent="0.2">
      <c r="A149" s="28"/>
      <c r="B149" s="30" t="s">
        <v>173</v>
      </c>
      <c r="C149" s="97" t="s">
        <v>115</v>
      </c>
      <c r="D149" s="95" t="e">
        <f>D81*0.029</f>
        <v>#DIV/0!</v>
      </c>
      <c r="E149" s="95" t="e">
        <f>E81*0.029</f>
        <v>#DIV/0!</v>
      </c>
      <c r="F149" s="95" t="e">
        <f>F81*0.029</f>
        <v>#DIV/0!</v>
      </c>
      <c r="G149" s="95" t="e">
        <f>G81*0.029</f>
        <v>#DIV/0!</v>
      </c>
      <c r="H149"/>
      <c r="I149" s="50"/>
    </row>
    <row r="150" spans="1:9" ht="12.75" x14ac:dyDescent="0.2">
      <c r="A150" s="28"/>
      <c r="B150" s="30" t="s">
        <v>174</v>
      </c>
      <c r="C150" s="97" t="s">
        <v>115</v>
      </c>
      <c r="D150" s="95" t="e">
        <f>D81*0.042</f>
        <v>#DIV/0!</v>
      </c>
      <c r="E150" s="95" t="e">
        <f>E81*0.042</f>
        <v>#DIV/0!</v>
      </c>
      <c r="F150" s="95" t="e">
        <f>F81*0.042</f>
        <v>#DIV/0!</v>
      </c>
      <c r="G150" s="95" t="e">
        <f>G81*0.042</f>
        <v>#DIV/0!</v>
      </c>
      <c r="H150"/>
      <c r="I150" s="50"/>
    </row>
    <row r="151" spans="1:9" ht="12.75" x14ac:dyDescent="0.2">
      <c r="A151" s="28"/>
      <c r="B151" s="30" t="s">
        <v>175</v>
      </c>
      <c r="C151" s="97" t="s">
        <v>54</v>
      </c>
      <c r="D151" s="188"/>
      <c r="E151" s="188"/>
      <c r="F151" s="188"/>
      <c r="G151" s="188"/>
      <c r="H151"/>
      <c r="I151" s="151" t="s">
        <v>176</v>
      </c>
    </row>
    <row r="152" spans="1:9" ht="12.75" x14ac:dyDescent="0.2">
      <c r="A152" s="28"/>
      <c r="B152" s="30" t="s">
        <v>177</v>
      </c>
      <c r="C152" s="97" t="s">
        <v>115</v>
      </c>
      <c r="D152" s="95" t="e">
        <f>((1-(D151/100))*D81*0.023)/0.35</f>
        <v>#DIV/0!</v>
      </c>
      <c r="E152" s="95" t="e">
        <f>((1-(E151/100))*E81*0.023)/0.35</f>
        <v>#DIV/0!</v>
      </c>
      <c r="F152" s="95" t="e">
        <f>((1-(F151/100))*F81*0.023)/0.35</f>
        <v>#DIV/0!</v>
      </c>
      <c r="G152" s="95" t="e">
        <f>((1-(G151/100))*G81*0.023)/0.35</f>
        <v>#DIV/0!</v>
      </c>
      <c r="H152"/>
      <c r="I152" s="151" t="s">
        <v>178</v>
      </c>
    </row>
    <row r="153" spans="1:9" ht="12.75" x14ac:dyDescent="0.2">
      <c r="B153" s="30" t="s">
        <v>179</v>
      </c>
      <c r="C153" s="72" t="s">
        <v>180</v>
      </c>
      <c r="D153" s="95" t="e">
        <f>(1-(D151/100))*D81*0.0043</f>
        <v>#DIV/0!</v>
      </c>
      <c r="E153" s="95" t="e">
        <f>(1-(E151/100))*E81*0.0043</f>
        <v>#DIV/0!</v>
      </c>
      <c r="F153" s="95" t="e">
        <f>(1-(F151/100))*F81*0.0043</f>
        <v>#DIV/0!</v>
      </c>
      <c r="G153" s="95" t="e">
        <f>(1-(G151/100))*G81*0.0043</f>
        <v>#DIV/0!</v>
      </c>
      <c r="H153"/>
      <c r="I153" s="151"/>
    </row>
    <row r="154" spans="1:9" ht="12.75" x14ac:dyDescent="0.2">
      <c r="C154" s="72"/>
      <c r="D154" s="179"/>
      <c r="E154" s="179"/>
      <c r="F154" s="179"/>
      <c r="G154" s="179"/>
      <c r="H154"/>
      <c r="I154" s="167"/>
    </row>
    <row r="155" spans="1:9" ht="12" customHeight="1" x14ac:dyDescent="0.2">
      <c r="A155" s="28" t="s">
        <v>185</v>
      </c>
      <c r="D155" s="28"/>
      <c r="E155" s="28"/>
      <c r="F155" s="42"/>
      <c r="G155" s="41"/>
      <c r="H155" s="1"/>
      <c r="I155" s="50"/>
    </row>
    <row r="156" spans="1:9" ht="12.75" x14ac:dyDescent="0.2">
      <c r="A156" s="28" t="s">
        <v>186</v>
      </c>
      <c r="C156" s="97" t="s">
        <v>24</v>
      </c>
      <c r="D156" s="93"/>
      <c r="E156" s="93"/>
      <c r="F156" s="93"/>
      <c r="G156" s="93"/>
      <c r="H156" s="1"/>
      <c r="I156" s="50"/>
    </row>
    <row r="157" spans="1:9" ht="12.75" x14ac:dyDescent="0.2">
      <c r="A157" s="28" t="s">
        <v>187</v>
      </c>
      <c r="C157" s="97" t="s">
        <v>54</v>
      </c>
      <c r="D157" s="132" t="e">
        <f>(1-(D156/D13))*100</f>
        <v>#DIV/0!</v>
      </c>
      <c r="E157" s="132" t="e">
        <f>(1-(E156/E13))*100</f>
        <v>#DIV/0!</v>
      </c>
      <c r="F157" s="132" t="e">
        <f>(1-(F156/F13))*100</f>
        <v>#DIV/0!</v>
      </c>
      <c r="G157" s="132" t="e">
        <f>(1-(G156/G13))*100</f>
        <v>#DIV/0!</v>
      </c>
      <c r="H157" s="64"/>
      <c r="I157" s="83"/>
    </row>
    <row r="158" spans="1:9" ht="12.75" x14ac:dyDescent="0.2">
      <c r="A158" s="28"/>
      <c r="C158" s="72"/>
      <c r="D158" s="125"/>
      <c r="E158" s="125"/>
      <c r="F158" s="125"/>
      <c r="G158" s="125"/>
      <c r="H158" s="64"/>
      <c r="I158" s="83"/>
    </row>
    <row r="159" spans="1:9" ht="12.75" x14ac:dyDescent="0.2">
      <c r="A159" s="28" t="s">
        <v>188</v>
      </c>
      <c r="C159" s="72"/>
      <c r="D159" s="125"/>
      <c r="E159" s="125"/>
      <c r="F159" s="125"/>
      <c r="G159" s="125"/>
      <c r="H159" s="64"/>
      <c r="I159" s="83"/>
    </row>
    <row r="160" spans="1:9" ht="12.75" x14ac:dyDescent="0.2">
      <c r="C160" s="28"/>
      <c r="D160" s="28"/>
      <c r="E160" s="28"/>
      <c r="F160" s="51"/>
      <c r="G160" s="41"/>
      <c r="H160" s="64"/>
      <c r="I160" s="83"/>
    </row>
    <row r="161" spans="1:9" ht="12.75" x14ac:dyDescent="0.2">
      <c r="A161" s="58" t="s">
        <v>189</v>
      </c>
      <c r="B161" s="63"/>
      <c r="C161" s="63"/>
      <c r="D161" s="63"/>
      <c r="E161" s="63"/>
      <c r="F161" s="59"/>
      <c r="G161" s="111"/>
      <c r="H161"/>
      <c r="I161" s="50"/>
    </row>
    <row r="162" spans="1:9" ht="12.75" x14ac:dyDescent="0.2">
      <c r="F162" s="42"/>
      <c r="G162" s="41"/>
      <c r="H162"/>
      <c r="I162" s="50"/>
    </row>
    <row r="163" spans="1:9" ht="37.5" customHeight="1" x14ac:dyDescent="0.2">
      <c r="A163" s="202" t="s">
        <v>190</v>
      </c>
      <c r="B163" s="202"/>
      <c r="C163" s="202"/>
      <c r="D163" s="202"/>
      <c r="E163" s="202"/>
      <c r="F163" s="202"/>
      <c r="G163" s="202"/>
      <c r="H163" s="150"/>
      <c r="I163" s="50"/>
    </row>
    <row r="164" spans="1:9" ht="12.75" x14ac:dyDescent="0.2">
      <c r="F164" s="42"/>
      <c r="G164" s="41"/>
      <c r="H164"/>
      <c r="I164" s="50"/>
    </row>
    <row r="165" spans="1:9" customFormat="1" ht="12.75" x14ac:dyDescent="0.2"/>
    <row r="166" spans="1:9" ht="13.5" x14ac:dyDescent="0.25">
      <c r="A166" s="28" t="s">
        <v>191</v>
      </c>
      <c r="B166" s="30" t="s">
        <v>192</v>
      </c>
      <c r="C166" s="30" t="s">
        <v>193</v>
      </c>
      <c r="D166" s="95" t="e">
        <f>5*'IC &amp; Runoff'!D88</f>
        <v>#DIV/0!</v>
      </c>
      <c r="E166" s="95" t="e">
        <f>5*'IC &amp; Runoff'!E88</f>
        <v>#DIV/0!</v>
      </c>
      <c r="F166" s="95" t="e">
        <f>5*'IC &amp; Runoff'!F88</f>
        <v>#DIV/0!</v>
      </c>
      <c r="G166" s="95" t="e">
        <f>5*'IC &amp; Runoff'!G88</f>
        <v>#DIV/0!</v>
      </c>
      <c r="I166" s="30" t="s">
        <v>194</v>
      </c>
    </row>
  </sheetData>
  <mergeCells count="2">
    <mergeCell ref="B11:C11"/>
    <mergeCell ref="A163:G163"/>
  </mergeCells>
  <phoneticPr fontId="3" type="noConversion"/>
  <pageMargins left="0.5" right="0.5" top="0.5" bottom="0.5" header="0.5" footer="0.5"/>
  <pageSetup scale="78" fitToHeight="2"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6"/>
  <sheetViews>
    <sheetView zoomScaleNormal="100" workbookViewId="0">
      <selection activeCell="F1" sqref="F1"/>
    </sheetView>
  </sheetViews>
  <sheetFormatPr defaultRowHeight="12.75" x14ac:dyDescent="0.2"/>
  <cols>
    <col min="1" max="1" width="38.5703125" customWidth="1"/>
    <col min="2" max="2" width="17.7109375" bestFit="1" customWidth="1"/>
    <col min="3" max="3" width="11.85546875" bestFit="1" customWidth="1"/>
    <col min="4" max="4" width="10.5703125" bestFit="1" customWidth="1"/>
    <col min="5" max="5" width="11.28515625" bestFit="1" customWidth="1"/>
    <col min="6" max="6" width="18.7109375" bestFit="1" customWidth="1"/>
    <col min="7" max="7" width="11.5703125" bestFit="1" customWidth="1"/>
    <col min="8" max="8" width="12" bestFit="1" customWidth="1"/>
  </cols>
  <sheetData>
    <row r="1" spans="1:7" s="1" customFormat="1" ht="25.5" x14ac:dyDescent="0.35">
      <c r="A1" s="121" t="s">
        <v>0</v>
      </c>
      <c r="B1" s="106"/>
      <c r="C1" s="106"/>
      <c r="D1" s="28"/>
      <c r="E1" s="140"/>
      <c r="F1" s="176" t="s">
        <v>1</v>
      </c>
      <c r="G1"/>
    </row>
    <row r="2" spans="1:7" s="27" customFormat="1" ht="15" x14ac:dyDescent="0.25">
      <c r="A2" s="44"/>
      <c r="B2" s="28"/>
      <c r="C2" s="28"/>
      <c r="D2" s="28"/>
      <c r="E2" s="30"/>
      <c r="F2" s="30"/>
      <c r="G2"/>
    </row>
    <row r="3" spans="1:7" s="27" customFormat="1" ht="15" x14ac:dyDescent="0.25">
      <c r="A3" s="121" t="s">
        <v>195</v>
      </c>
      <c r="B3" s="106"/>
      <c r="C3" s="106"/>
      <c r="D3" s="106"/>
      <c r="E3" s="106"/>
      <c r="F3" s="106"/>
      <c r="G3"/>
    </row>
    <row r="4" spans="1:7" s="27" customFormat="1" ht="15" x14ac:dyDescent="0.25">
      <c r="A4" s="44"/>
      <c r="B4" s="28"/>
      <c r="C4" s="28"/>
      <c r="D4" s="28"/>
      <c r="E4" s="28"/>
      <c r="F4" s="28"/>
      <c r="G4"/>
    </row>
    <row r="5" spans="1:7" s="1" customFormat="1" x14ac:dyDescent="0.2">
      <c r="A5" s="28" t="s">
        <v>82</v>
      </c>
      <c r="B5" s="30"/>
      <c r="C5" s="30"/>
      <c r="D5" s="30"/>
      <c r="E5" s="30"/>
      <c r="F5" s="30"/>
      <c r="G5"/>
    </row>
    <row r="6" spans="1:7" s="1" customFormat="1" x14ac:dyDescent="0.2">
      <c r="A6" s="28" t="s">
        <v>83</v>
      </c>
      <c r="B6" s="28"/>
      <c r="C6" s="28"/>
      <c r="D6" s="28"/>
      <c r="E6" s="28"/>
      <c r="F6" s="28"/>
      <c r="G6"/>
    </row>
    <row r="7" spans="1:7" s="1" customFormat="1" x14ac:dyDescent="0.2">
      <c r="A7" s="137" t="s">
        <v>84</v>
      </c>
      <c r="B7" s="137"/>
      <c r="C7" s="28"/>
      <c r="D7" s="28"/>
      <c r="E7" s="28"/>
      <c r="F7" s="28"/>
      <c r="G7"/>
    </row>
    <row r="8" spans="1:7" s="1" customFormat="1" x14ac:dyDescent="0.2">
      <c r="A8" s="28"/>
      <c r="B8" s="28"/>
      <c r="C8" s="28"/>
      <c r="D8" s="28"/>
      <c r="E8" s="28"/>
      <c r="F8" s="28"/>
      <c r="G8"/>
    </row>
    <row r="9" spans="1:7" s="1" customFormat="1" x14ac:dyDescent="0.2">
      <c r="A9" s="1" t="s">
        <v>196</v>
      </c>
      <c r="B9" s="154"/>
      <c r="C9" s="30"/>
      <c r="E9" s="28"/>
      <c r="F9" s="28"/>
      <c r="G9"/>
    </row>
    <row r="10" spans="1:7" s="1" customFormat="1" x14ac:dyDescent="0.2">
      <c r="A10" s="28" t="s">
        <v>197</v>
      </c>
      <c r="B10" s="138"/>
      <c r="C10" s="30"/>
      <c r="D10" s="28"/>
      <c r="E10" s="28"/>
      <c r="F10" s="28"/>
      <c r="G10"/>
    </row>
    <row r="11" spans="1:7" s="1" customFormat="1" x14ac:dyDescent="0.2">
      <c r="A11" s="28" t="s">
        <v>198</v>
      </c>
      <c r="B11" s="138"/>
      <c r="C11" s="28" t="s">
        <v>199</v>
      </c>
      <c r="E11" s="28"/>
      <c r="F11" s="28"/>
      <c r="G11"/>
    </row>
    <row r="12" spans="1:7" s="1" customFormat="1" x14ac:dyDescent="0.2">
      <c r="A12" s="28"/>
      <c r="B12" s="127"/>
      <c r="C12" s="28"/>
      <c r="D12" s="28"/>
      <c r="E12" s="28"/>
      <c r="F12" s="28"/>
      <c r="G12"/>
    </row>
    <row r="13" spans="1:7" s="1" customFormat="1" x14ac:dyDescent="0.2">
      <c r="A13" s="62" t="s">
        <v>200</v>
      </c>
      <c r="B13"/>
      <c r="C13" s="28"/>
      <c r="D13" s="28"/>
      <c r="E13" s="28"/>
      <c r="F13" s="28"/>
      <c r="G13"/>
    </row>
    <row r="14" spans="1:7" s="1" customFormat="1" x14ac:dyDescent="0.2">
      <c r="A14"/>
      <c r="B14"/>
      <c r="C14" s="28"/>
      <c r="D14" s="28"/>
      <c r="E14" s="28"/>
      <c r="F14" s="28"/>
      <c r="G14"/>
    </row>
    <row r="15" spans="1:7" s="1" customFormat="1" x14ac:dyDescent="0.2">
      <c r="A15" s="32"/>
      <c r="B15" s="33" t="s">
        <v>201</v>
      </c>
      <c r="C15" s="28"/>
      <c r="D15" s="28"/>
      <c r="E15" s="28"/>
      <c r="F15" s="28"/>
      <c r="G15"/>
    </row>
    <row r="16" spans="1:7" s="1" customFormat="1" x14ac:dyDescent="0.2">
      <c r="A16" s="34"/>
      <c r="B16" s="35" t="s">
        <v>13</v>
      </c>
      <c r="C16" s="28"/>
      <c r="D16" s="28"/>
      <c r="E16" s="28"/>
      <c r="F16" s="28"/>
      <c r="G16"/>
    </row>
    <row r="17" spans="1:8" s="1" customFormat="1" x14ac:dyDescent="0.2">
      <c r="A17" s="36" t="s">
        <v>88</v>
      </c>
      <c r="B17" s="37" t="s">
        <v>202</v>
      </c>
      <c r="C17" s="28"/>
      <c r="D17" s="28"/>
      <c r="E17" s="28"/>
      <c r="F17" s="28"/>
      <c r="G17"/>
    </row>
    <row r="18" spans="1:8" s="1" customFormat="1" x14ac:dyDescent="0.2">
      <c r="A18" s="38" t="s">
        <v>203</v>
      </c>
      <c r="B18" s="139"/>
      <c r="C18" s="28"/>
      <c r="D18" s="28"/>
      <c r="E18" s="28"/>
      <c r="F18" s="28"/>
      <c r="G18"/>
    </row>
    <row r="19" spans="1:8" s="1" customFormat="1" x14ac:dyDescent="0.2">
      <c r="A19" s="38" t="s">
        <v>204</v>
      </c>
      <c r="B19" s="139"/>
      <c r="C19" s="28"/>
      <c r="D19" s="28"/>
      <c r="E19" s="28"/>
      <c r="G19" s="28"/>
    </row>
    <row r="20" spans="1:8" s="1" customFormat="1" x14ac:dyDescent="0.2">
      <c r="A20" s="38" t="s">
        <v>205</v>
      </c>
      <c r="B20" s="139"/>
      <c r="C20" s="28"/>
      <c r="D20" s="28"/>
      <c r="E20" s="28"/>
      <c r="G20" s="28"/>
    </row>
    <row r="21" spans="1:8" s="1" customFormat="1" x14ac:dyDescent="0.2">
      <c r="A21" s="45" t="s">
        <v>63</v>
      </c>
      <c r="B21" s="50">
        <f>SUM(B18:B20)</f>
        <v>0</v>
      </c>
      <c r="C21" s="28"/>
      <c r="D21" s="28"/>
      <c r="E21" s="28"/>
      <c r="F21" s="28"/>
      <c r="G21" s="28"/>
    </row>
    <row r="22" spans="1:8" s="1" customFormat="1" x14ac:dyDescent="0.2">
      <c r="A22" s="45" t="s">
        <v>206</v>
      </c>
      <c r="B22" s="46" t="e">
        <f>(B21/B11)*100</f>
        <v>#DIV/0!</v>
      </c>
      <c r="C22" s="28"/>
      <c r="D22" s="28"/>
      <c r="E22" s="28"/>
      <c r="F22" s="28"/>
      <c r="G22" s="28"/>
    </row>
    <row r="23" spans="1:8" x14ac:dyDescent="0.2">
      <c r="G23" s="31"/>
    </row>
    <row r="24" spans="1:8" s="27" customFormat="1" x14ac:dyDescent="0.2">
      <c r="A24" s="62" t="s">
        <v>207</v>
      </c>
      <c r="B24" s="65"/>
      <c r="C24" s="65"/>
      <c r="D24" s="65"/>
      <c r="E24"/>
      <c r="F24"/>
      <c r="G24"/>
    </row>
    <row r="25" spans="1:8" s="27" customFormat="1" x14ac:dyDescent="0.2">
      <c r="A25"/>
      <c r="B25"/>
      <c r="C25"/>
      <c r="D25"/>
      <c r="E25"/>
      <c r="F25"/>
      <c r="G25"/>
    </row>
    <row r="26" spans="1:8" s="27" customFormat="1" x14ac:dyDescent="0.2">
      <c r="A26" s="64" t="s">
        <v>208</v>
      </c>
      <c r="B26"/>
      <c r="C26" s="49" t="s">
        <v>209</v>
      </c>
      <c r="E26" s="1"/>
      <c r="F26" s="1"/>
      <c r="G26" s="1"/>
      <c r="H26" s="1"/>
    </row>
    <row r="27" spans="1:8" s="27" customFormat="1" x14ac:dyDescent="0.2">
      <c r="A27"/>
      <c r="B27"/>
      <c r="C27" s="28" t="s">
        <v>210</v>
      </c>
      <c r="E27"/>
      <c r="F27"/>
      <c r="G27"/>
    </row>
    <row r="28" spans="1:8" s="27" customFormat="1" x14ac:dyDescent="0.2">
      <c r="A28"/>
      <c r="B28"/>
      <c r="C28" s="49" t="s">
        <v>211</v>
      </c>
      <c r="E28"/>
      <c r="F28"/>
      <c r="G28"/>
    </row>
    <row r="29" spans="1:8" s="27" customFormat="1" x14ac:dyDescent="0.2">
      <c r="A29"/>
      <c r="B29"/>
      <c r="C29" s="49" t="s">
        <v>212</v>
      </c>
      <c r="E29"/>
      <c r="F29"/>
      <c r="G29"/>
    </row>
    <row r="31" spans="1:8" x14ac:dyDescent="0.2">
      <c r="A31" s="62" t="s">
        <v>213</v>
      </c>
      <c r="B31" s="65"/>
      <c r="C31" s="65"/>
      <c r="D31" s="65"/>
      <c r="E31" s="65"/>
      <c r="F31" s="65"/>
    </row>
    <row r="33" spans="1:6" x14ac:dyDescent="0.2">
      <c r="A33" t="s">
        <v>214</v>
      </c>
    </row>
    <row r="34" spans="1:6" x14ac:dyDescent="0.2">
      <c r="A34" t="s">
        <v>215</v>
      </c>
    </row>
    <row r="36" spans="1:6" x14ac:dyDescent="0.2">
      <c r="A36" s="28" t="s">
        <v>143</v>
      </c>
      <c r="B36" s="29">
        <v>1.93</v>
      </c>
      <c r="C36" s="28" t="s">
        <v>216</v>
      </c>
      <c r="D36" s="30"/>
      <c r="F36" s="42"/>
    </row>
    <row r="37" spans="1:6" x14ac:dyDescent="0.2">
      <c r="A37" s="30"/>
      <c r="B37" s="30"/>
      <c r="C37" s="30"/>
      <c r="D37" s="30"/>
      <c r="F37" s="42"/>
    </row>
    <row r="38" spans="1:6" x14ac:dyDescent="0.2">
      <c r="A38" s="28" t="s">
        <v>145</v>
      </c>
      <c r="B38" s="50" t="e">
        <f>(0.05+(0.0085*B22))*1.93</f>
        <v>#DIV/0!</v>
      </c>
      <c r="C38" s="28" t="s">
        <v>216</v>
      </c>
      <c r="D38" s="30" t="s">
        <v>217</v>
      </c>
      <c r="F38" s="42"/>
    </row>
    <row r="39" spans="1:6" x14ac:dyDescent="0.2">
      <c r="A39" s="28"/>
      <c r="B39" s="29"/>
      <c r="C39" s="28"/>
      <c r="D39" s="30"/>
      <c r="F39" s="42"/>
    </row>
    <row r="40" spans="1:6" x14ac:dyDescent="0.2">
      <c r="A40" s="28" t="s">
        <v>147</v>
      </c>
      <c r="B40" s="40" t="e">
        <f>B11*B38*43560/12</f>
        <v>#DIV/0!</v>
      </c>
      <c r="C40" s="28" t="s">
        <v>218</v>
      </c>
      <c r="D40" s="30" t="s">
        <v>219</v>
      </c>
      <c r="F40" s="42"/>
    </row>
    <row r="42" spans="1:6" x14ac:dyDescent="0.2">
      <c r="A42" s="1" t="s">
        <v>220</v>
      </c>
    </row>
    <row r="43" spans="1:6" ht="13.5" thickBot="1" x14ac:dyDescent="0.25"/>
    <row r="44" spans="1:6" ht="13.5" thickBot="1" x14ac:dyDescent="0.25">
      <c r="A44" s="68" t="s">
        <v>221</v>
      </c>
      <c r="B44" s="69" t="s">
        <v>222</v>
      </c>
      <c r="C44" s="141"/>
    </row>
    <row r="45" spans="1:6" x14ac:dyDescent="0.2">
      <c r="A45" s="66" t="s">
        <v>223</v>
      </c>
      <c r="B45" s="144" t="e">
        <f>B40*2.27</f>
        <v>#DIV/0!</v>
      </c>
      <c r="C45" s="143" t="s">
        <v>224</v>
      </c>
      <c r="D45" t="s">
        <v>225</v>
      </c>
    </row>
    <row r="46" spans="1:6" x14ac:dyDescent="0.2">
      <c r="A46" s="66" t="s">
        <v>226</v>
      </c>
      <c r="B46" s="145" t="e">
        <f>B40*1.15</f>
        <v>#DIV/0!</v>
      </c>
      <c r="C46" s="143" t="s">
        <v>224</v>
      </c>
      <c r="D46" t="s">
        <v>227</v>
      </c>
    </row>
    <row r="47" spans="1:6" ht="13.5" thickBot="1" x14ac:dyDescent="0.25">
      <c r="A47" s="67" t="s">
        <v>228</v>
      </c>
      <c r="B47" s="146" t="e">
        <f>B40*0.77</f>
        <v>#DIV/0!</v>
      </c>
      <c r="C47" s="143" t="s">
        <v>224</v>
      </c>
      <c r="D47" t="s">
        <v>229</v>
      </c>
    </row>
    <row r="48" spans="1:6" x14ac:dyDescent="0.2">
      <c r="B48" t="s">
        <v>8</v>
      </c>
    </row>
    <row r="49" spans="1:6" x14ac:dyDescent="0.2">
      <c r="A49" t="s">
        <v>230</v>
      </c>
    </row>
    <row r="51" spans="1:6" x14ac:dyDescent="0.2">
      <c r="A51" s="62" t="s">
        <v>231</v>
      </c>
      <c r="B51" s="65"/>
      <c r="C51" s="65"/>
    </row>
    <row r="52" spans="1:6" x14ac:dyDescent="0.2">
      <c r="A52" s="30" t="s">
        <v>232</v>
      </c>
    </row>
    <row r="53" spans="1:6" x14ac:dyDescent="0.2">
      <c r="A53" s="128" t="s">
        <v>233</v>
      </c>
      <c r="B53" s="153"/>
      <c r="C53" s="153"/>
      <c r="D53" s="153"/>
      <c r="E53" s="153"/>
      <c r="F53" s="153"/>
    </row>
    <row r="54" spans="1:6" x14ac:dyDescent="0.2">
      <c r="A54" s="128" t="s">
        <v>234</v>
      </c>
      <c r="B54" s="128"/>
      <c r="C54" s="128"/>
      <c r="D54" s="128"/>
      <c r="E54" s="128"/>
      <c r="F54" s="128"/>
    </row>
    <row r="56" spans="1:6" ht="13.5" x14ac:dyDescent="0.25">
      <c r="A56" s="28" t="s">
        <v>235</v>
      </c>
      <c r="B56" s="142" t="e">
        <f>10*(((B22/100)*0.75)+((1-(B22/100))*0.18))*5.5*B11</f>
        <v>#DIV/0!</v>
      </c>
      <c r="C56" s="1" t="s">
        <v>193</v>
      </c>
      <c r="D56" t="s">
        <v>236</v>
      </c>
    </row>
  </sheetData>
  <phoneticPr fontId="3" type="noConversion"/>
  <pageMargins left="0.75" right="0.75" top="1" bottom="1" header="0.5" footer="0.5"/>
  <pageSetup scale="83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6"/>
  <sheetViews>
    <sheetView workbookViewId="0">
      <selection activeCell="A23" sqref="A23:IV23"/>
    </sheetView>
  </sheetViews>
  <sheetFormatPr defaultRowHeight="12.75" x14ac:dyDescent="0.2"/>
  <cols>
    <col min="1" max="1" width="60.85546875" bestFit="1" customWidth="1"/>
    <col min="2" max="2" width="13.42578125" customWidth="1"/>
    <col min="3" max="3" width="11.7109375" customWidth="1"/>
  </cols>
  <sheetData>
    <row r="1" spans="1:4" s="1" customFormat="1" x14ac:dyDescent="0.2">
      <c r="A1" s="62" t="s">
        <v>237</v>
      </c>
    </row>
    <row r="3" spans="1:4" x14ac:dyDescent="0.2">
      <c r="A3" t="s">
        <v>238</v>
      </c>
    </row>
    <row r="4" spans="1:4" x14ac:dyDescent="0.2">
      <c r="A4" t="s">
        <v>239</v>
      </c>
    </row>
    <row r="6" spans="1:4" s="1" customFormat="1" x14ac:dyDescent="0.2">
      <c r="A6" s="1" t="s">
        <v>240</v>
      </c>
      <c r="B6" s="114" t="s">
        <v>241</v>
      </c>
      <c r="C6" s="114" t="s">
        <v>242</v>
      </c>
      <c r="D6" s="114" t="s">
        <v>243</v>
      </c>
    </row>
    <row r="7" spans="1:4" x14ac:dyDescent="0.2">
      <c r="A7" t="s">
        <v>244</v>
      </c>
      <c r="B7" s="85">
        <v>0.69</v>
      </c>
      <c r="C7" s="85">
        <v>0.82</v>
      </c>
      <c r="D7" s="85">
        <v>0.88</v>
      </c>
    </row>
    <row r="8" spans="1:4" x14ac:dyDescent="0.2">
      <c r="A8" t="s">
        <v>245</v>
      </c>
      <c r="B8" s="85">
        <v>0.75</v>
      </c>
      <c r="C8" s="85">
        <v>0.87</v>
      </c>
      <c r="D8" s="85">
        <v>0.93</v>
      </c>
    </row>
    <row r="9" spans="1:4" x14ac:dyDescent="0.2">
      <c r="A9" t="s">
        <v>246</v>
      </c>
      <c r="B9" s="85">
        <v>0.75</v>
      </c>
      <c r="C9" s="85">
        <v>0.87</v>
      </c>
      <c r="D9" s="85">
        <v>0.93</v>
      </c>
    </row>
    <row r="10" spans="1:4" x14ac:dyDescent="0.2">
      <c r="A10" t="s">
        <v>247</v>
      </c>
      <c r="B10" s="85">
        <v>0.75</v>
      </c>
      <c r="C10" s="85">
        <v>0.87</v>
      </c>
      <c r="D10" s="85">
        <v>0.93</v>
      </c>
    </row>
    <row r="11" spans="1:4" x14ac:dyDescent="0.2">
      <c r="A11" t="s">
        <v>248</v>
      </c>
      <c r="B11" s="85">
        <v>0.05</v>
      </c>
      <c r="C11" s="85">
        <v>7.0000000000000007E-2</v>
      </c>
      <c r="D11" s="85">
        <v>0.08</v>
      </c>
    </row>
    <row r="12" spans="1:4" x14ac:dyDescent="0.2">
      <c r="A12" t="s">
        <v>249</v>
      </c>
      <c r="B12" s="85">
        <v>0.1</v>
      </c>
      <c r="C12" s="85">
        <v>0.12</v>
      </c>
      <c r="D12" s="85">
        <v>0.13</v>
      </c>
    </row>
    <row r="13" spans="1:4" x14ac:dyDescent="0.2">
      <c r="A13" t="s">
        <v>250</v>
      </c>
      <c r="B13" s="85">
        <v>0.14000000000000001</v>
      </c>
      <c r="C13" s="85">
        <v>0.18</v>
      </c>
      <c r="D13" s="85">
        <v>0.19</v>
      </c>
    </row>
    <row r="14" spans="1:4" x14ac:dyDescent="0.2">
      <c r="A14" t="s">
        <v>251</v>
      </c>
      <c r="B14" s="85">
        <v>0.15</v>
      </c>
      <c r="C14" s="85">
        <v>0.19</v>
      </c>
      <c r="D14" s="85">
        <v>0.2</v>
      </c>
    </row>
    <row r="15" spans="1:4" x14ac:dyDescent="0.2">
      <c r="A15" t="s">
        <v>252</v>
      </c>
      <c r="B15" s="85">
        <v>0.18</v>
      </c>
      <c r="C15" s="85">
        <v>0.23</v>
      </c>
      <c r="D15" s="85">
        <v>0.24</v>
      </c>
    </row>
    <row r="16" spans="1:4" x14ac:dyDescent="0.2">
      <c r="A16" t="s">
        <v>253</v>
      </c>
      <c r="B16" s="85">
        <v>0.25</v>
      </c>
      <c r="C16" s="85">
        <v>0.31</v>
      </c>
      <c r="D16" s="85">
        <v>0.33</v>
      </c>
    </row>
    <row r="17" spans="1:4" x14ac:dyDescent="0.2">
      <c r="A17" t="s">
        <v>254</v>
      </c>
      <c r="B17" s="85">
        <v>0.1</v>
      </c>
      <c r="C17" s="85">
        <v>0.12</v>
      </c>
      <c r="D17" s="85">
        <v>0.13</v>
      </c>
    </row>
    <row r="18" spans="1:4" x14ac:dyDescent="0.2">
      <c r="A18" t="s">
        <v>255</v>
      </c>
      <c r="B18" s="85">
        <v>0.16</v>
      </c>
      <c r="C18" s="85">
        <v>0.21</v>
      </c>
      <c r="D18" s="85">
        <v>0.22</v>
      </c>
    </row>
    <row r="19" spans="1:4" x14ac:dyDescent="0.2">
      <c r="A19" t="s">
        <v>256</v>
      </c>
      <c r="B19" s="85">
        <v>0.25</v>
      </c>
      <c r="C19" s="85">
        <v>0.31</v>
      </c>
      <c r="D19" s="85">
        <v>0.33</v>
      </c>
    </row>
    <row r="20" spans="1:4" x14ac:dyDescent="0.2">
      <c r="A20" t="s">
        <v>257</v>
      </c>
      <c r="B20" s="85">
        <v>0.25</v>
      </c>
      <c r="C20" s="85">
        <v>0.31</v>
      </c>
      <c r="D20" s="85">
        <v>0.33</v>
      </c>
    </row>
    <row r="21" spans="1:4" x14ac:dyDescent="0.2">
      <c r="A21" t="s">
        <v>258</v>
      </c>
      <c r="B21" s="85">
        <v>0.32</v>
      </c>
      <c r="C21" s="85">
        <v>0.41</v>
      </c>
      <c r="D21" s="85">
        <v>0.44</v>
      </c>
    </row>
    <row r="22" spans="1:4" x14ac:dyDescent="0.2">
      <c r="A22" t="s">
        <v>259</v>
      </c>
      <c r="B22" s="85">
        <v>0.41</v>
      </c>
      <c r="C22" s="85">
        <v>0.51</v>
      </c>
      <c r="D22" s="85">
        <v>0.55000000000000004</v>
      </c>
    </row>
    <row r="23" spans="1:4" ht="13.5" thickBot="1" x14ac:dyDescent="0.25"/>
    <row r="24" spans="1:4" x14ac:dyDescent="0.2">
      <c r="A24" s="57"/>
      <c r="B24" s="57"/>
      <c r="C24" s="57"/>
      <c r="D24" s="57"/>
    </row>
    <row r="25" spans="1:4" x14ac:dyDescent="0.2">
      <c r="A25" s="147" t="s">
        <v>260</v>
      </c>
    </row>
    <row r="27" spans="1:4" x14ac:dyDescent="0.2">
      <c r="A27" s="148" t="s">
        <v>261</v>
      </c>
      <c r="B27" s="148" t="s">
        <v>262</v>
      </c>
    </row>
    <row r="28" spans="1:4" x14ac:dyDescent="0.2">
      <c r="A28" t="s">
        <v>263</v>
      </c>
      <c r="B28" s="149">
        <v>1.6E-2</v>
      </c>
    </row>
    <row r="29" spans="1:4" x14ac:dyDescent="0.2">
      <c r="A29" t="s">
        <v>264</v>
      </c>
      <c r="B29" s="149">
        <v>0.02</v>
      </c>
    </row>
    <row r="30" spans="1:4" ht="25.5" x14ac:dyDescent="0.2">
      <c r="A30" s="150" t="s">
        <v>265</v>
      </c>
      <c r="B30" s="149">
        <v>0.1</v>
      </c>
    </row>
    <row r="31" spans="1:4" ht="25.5" x14ac:dyDescent="0.2">
      <c r="A31" s="150" t="s">
        <v>266</v>
      </c>
      <c r="B31" s="149">
        <v>0.2</v>
      </c>
    </row>
    <row r="32" spans="1:4" ht="25.5" x14ac:dyDescent="0.2">
      <c r="A32" s="150" t="s">
        <v>267</v>
      </c>
      <c r="B32" s="149">
        <v>0.3</v>
      </c>
    </row>
    <row r="33" spans="1:2" ht="38.25" x14ac:dyDescent="0.2">
      <c r="A33" s="150" t="s">
        <v>268</v>
      </c>
      <c r="B33" s="149">
        <v>0.6</v>
      </c>
    </row>
    <row r="35" spans="1:2" x14ac:dyDescent="0.2">
      <c r="A35" s="1" t="s">
        <v>269</v>
      </c>
    </row>
    <row r="37" spans="1:2" x14ac:dyDescent="0.2">
      <c r="A37" s="148" t="s">
        <v>270</v>
      </c>
      <c r="B37" s="148" t="s">
        <v>262</v>
      </c>
    </row>
    <row r="38" spans="1:2" x14ac:dyDescent="0.2">
      <c r="A38" t="s">
        <v>271</v>
      </c>
      <c r="B38" s="149">
        <v>0.04</v>
      </c>
    </row>
    <row r="39" spans="1:2" x14ac:dyDescent="0.2">
      <c r="A39" t="s">
        <v>272</v>
      </c>
      <c r="B39" s="149">
        <v>4.4999999999999998E-2</v>
      </c>
    </row>
    <row r="40" spans="1:2" x14ac:dyDescent="0.2">
      <c r="A40" t="s">
        <v>273</v>
      </c>
      <c r="B40" s="149">
        <v>0.06</v>
      </c>
    </row>
    <row r="41" spans="1:2" x14ac:dyDescent="0.2">
      <c r="A41" t="s">
        <v>274</v>
      </c>
      <c r="B41" s="149"/>
    </row>
    <row r="42" spans="1:2" x14ac:dyDescent="0.2">
      <c r="A42" t="s">
        <v>275</v>
      </c>
      <c r="B42" s="149">
        <v>0.02</v>
      </c>
    </row>
    <row r="43" spans="1:2" x14ac:dyDescent="0.2">
      <c r="A43" t="s">
        <v>276</v>
      </c>
      <c r="B43" s="149">
        <v>1.4999999999999999E-2</v>
      </c>
    </row>
    <row r="44" spans="1:2" x14ac:dyDescent="0.2">
      <c r="A44" t="s">
        <v>277</v>
      </c>
      <c r="B44" s="149">
        <v>2.5000000000000001E-2</v>
      </c>
    </row>
    <row r="45" spans="1:2" x14ac:dyDescent="0.2">
      <c r="A45" t="s">
        <v>278</v>
      </c>
      <c r="B45" s="149"/>
    </row>
    <row r="46" spans="1:2" x14ac:dyDescent="0.2">
      <c r="A46" t="s">
        <v>279</v>
      </c>
      <c r="B46" s="149">
        <v>3.5000000000000003E-2</v>
      </c>
    </row>
    <row r="47" spans="1:2" x14ac:dyDescent="0.2">
      <c r="A47" t="s">
        <v>280</v>
      </c>
      <c r="B47" s="149">
        <v>2.5000000000000001E-2</v>
      </c>
    </row>
    <row r="48" spans="1:2" ht="13.5" thickBot="1" x14ac:dyDescent="0.25">
      <c r="B48" s="149"/>
    </row>
    <row r="49" spans="1:4" x14ac:dyDescent="0.2">
      <c r="A49" s="57"/>
      <c r="B49" s="57"/>
      <c r="C49" s="57"/>
      <c r="D49" s="57"/>
    </row>
    <row r="50" spans="1:4" x14ac:dyDescent="0.2">
      <c r="A50" s="155" t="s">
        <v>281</v>
      </c>
    </row>
    <row r="51" spans="1:4" ht="63.75" x14ac:dyDescent="0.2">
      <c r="A51" s="159" t="s">
        <v>282</v>
      </c>
      <c r="B51" s="159" t="s">
        <v>283</v>
      </c>
      <c r="C51" s="160" t="s">
        <v>284</v>
      </c>
      <c r="D51" s="160" t="s">
        <v>285</v>
      </c>
    </row>
    <row r="52" spans="1:4" ht="25.5" x14ac:dyDescent="0.2">
      <c r="A52" s="55" t="s">
        <v>286</v>
      </c>
      <c r="B52" s="55" t="s">
        <v>287</v>
      </c>
      <c r="C52" s="56" t="s">
        <v>288</v>
      </c>
      <c r="D52" s="56" t="s">
        <v>288</v>
      </c>
    </row>
    <row r="53" spans="1:4" x14ac:dyDescent="0.2">
      <c r="A53" s="156" t="s">
        <v>289</v>
      </c>
      <c r="B53" s="156" t="s">
        <v>290</v>
      </c>
      <c r="C53" s="157">
        <v>0.8</v>
      </c>
      <c r="D53" s="158">
        <v>0</v>
      </c>
    </row>
    <row r="54" spans="1:4" x14ac:dyDescent="0.2">
      <c r="A54" s="156" t="s">
        <v>291</v>
      </c>
      <c r="B54" s="156" t="s">
        <v>292</v>
      </c>
      <c r="C54" s="157">
        <v>1.2</v>
      </c>
      <c r="D54" s="158">
        <v>0.2</v>
      </c>
    </row>
    <row r="55" spans="1:4" x14ac:dyDescent="0.2">
      <c r="A55" s="156" t="s">
        <v>293</v>
      </c>
      <c r="B55" s="156" t="s">
        <v>294</v>
      </c>
      <c r="C55" s="157">
        <v>1.6</v>
      </c>
      <c r="D55" s="158">
        <v>0.33</v>
      </c>
    </row>
    <row r="56" spans="1:4" x14ac:dyDescent="0.2">
      <c r="A56" s="156" t="s">
        <v>295</v>
      </c>
      <c r="B56" s="156" t="s">
        <v>296</v>
      </c>
      <c r="C56" s="157">
        <v>2</v>
      </c>
      <c r="D56" s="158">
        <v>0.4</v>
      </c>
    </row>
  </sheetData>
  <phoneticPr fontId="3" type="noConversion"/>
  <dataValidations count="1">
    <dataValidation type="list" allowBlank="1" showInputMessage="1" showErrorMessage="1" sqref="B7:D22" xr:uid="{00000000-0002-0000-0300-000000000000}">
      <formula1>$A$7:$A$22</formula1>
    </dataValidation>
  </dataValidations>
  <pageMargins left="0.75" right="0.75" top="1" bottom="1" header="0.5" footer="0.5"/>
  <pageSetup scale="7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7"/>
  <sheetViews>
    <sheetView workbookViewId="0">
      <selection activeCell="C13" sqref="C13"/>
    </sheetView>
  </sheetViews>
  <sheetFormatPr defaultRowHeight="12.75" x14ac:dyDescent="0.2"/>
  <cols>
    <col min="3" max="3" width="10.85546875" bestFit="1" customWidth="1"/>
  </cols>
  <sheetData>
    <row r="1" spans="1:21" x14ac:dyDescent="0.2">
      <c r="A1" s="62" t="s">
        <v>297</v>
      </c>
      <c r="B1" s="65"/>
      <c r="C1" s="65"/>
      <c r="D1" s="65"/>
      <c r="E1" s="65"/>
      <c r="F1" s="65"/>
      <c r="G1" s="65"/>
    </row>
    <row r="2" spans="1:21" ht="25.5" x14ac:dyDescent="0.35">
      <c r="A2" s="62" t="s">
        <v>298</v>
      </c>
      <c r="B2" s="65"/>
      <c r="C2" s="65"/>
      <c r="D2" s="65"/>
      <c r="E2" s="65"/>
      <c r="F2" s="65"/>
      <c r="G2" s="65"/>
      <c r="I2" s="140"/>
    </row>
    <row r="3" spans="1:21" x14ac:dyDescent="0.2">
      <c r="A3" s="1"/>
    </row>
    <row r="4" spans="1:21" x14ac:dyDescent="0.2">
      <c r="A4" s="136" t="s">
        <v>3</v>
      </c>
      <c r="B4" s="137"/>
      <c r="C4" s="136" t="s">
        <v>3</v>
      </c>
      <c r="D4" s="137"/>
      <c r="E4" s="137"/>
    </row>
    <row r="5" spans="1:21" x14ac:dyDescent="0.2">
      <c r="A5" s="1"/>
    </row>
    <row r="6" spans="1:21" x14ac:dyDescent="0.2">
      <c r="A6" t="s">
        <v>299</v>
      </c>
    </row>
    <row r="7" spans="1:21" x14ac:dyDescent="0.2">
      <c r="A7" s="3"/>
      <c r="B7" s="3"/>
      <c r="C7" s="3"/>
      <c r="D7" s="3"/>
      <c r="E7" s="4" t="s">
        <v>300</v>
      </c>
      <c r="F7" s="5"/>
      <c r="G7" s="4"/>
      <c r="H7" s="4"/>
      <c r="I7" s="3"/>
      <c r="J7" s="3"/>
      <c r="K7" s="3"/>
      <c r="L7" s="3"/>
      <c r="M7" s="3"/>
      <c r="N7" s="3"/>
      <c r="O7" s="6"/>
      <c r="P7" s="7"/>
      <c r="Q7" s="7"/>
      <c r="R7" s="7"/>
      <c r="S7" s="7"/>
      <c r="T7" s="7"/>
      <c r="U7" s="7"/>
    </row>
    <row r="8" spans="1:21" x14ac:dyDescent="0.2">
      <c r="A8" s="3" t="s">
        <v>301</v>
      </c>
      <c r="B8" s="3"/>
      <c r="C8" s="3" t="s">
        <v>302</v>
      </c>
      <c r="D8" s="3"/>
      <c r="E8" s="4" t="s">
        <v>144</v>
      </c>
      <c r="F8" s="5"/>
      <c r="G8" s="4"/>
      <c r="H8" s="4"/>
      <c r="I8" s="3"/>
      <c r="J8" s="3"/>
      <c r="K8" s="3"/>
      <c r="L8" s="3"/>
      <c r="M8" s="3"/>
      <c r="N8" s="3"/>
      <c r="O8" s="6"/>
      <c r="P8" s="7"/>
      <c r="Q8" s="7"/>
      <c r="R8" s="7"/>
      <c r="S8" s="7"/>
      <c r="T8" s="7"/>
      <c r="U8" s="7"/>
    </row>
    <row r="9" spans="1:21" x14ac:dyDescent="0.2">
      <c r="A9" s="3" t="s">
        <v>13</v>
      </c>
      <c r="B9" s="3" t="s">
        <v>61</v>
      </c>
      <c r="C9" s="8" t="s">
        <v>301</v>
      </c>
      <c r="D9" s="3" t="s">
        <v>303</v>
      </c>
      <c r="E9" s="4" t="s">
        <v>303</v>
      </c>
      <c r="F9" s="5" t="s">
        <v>304</v>
      </c>
      <c r="G9" s="4" t="s">
        <v>303</v>
      </c>
      <c r="H9" s="4"/>
      <c r="I9" s="9" t="s">
        <v>305</v>
      </c>
      <c r="J9" s="10"/>
      <c r="K9" s="10"/>
      <c r="L9" s="10"/>
      <c r="M9" s="10"/>
      <c r="N9" s="10"/>
      <c r="O9" s="6"/>
      <c r="P9" s="11" t="s">
        <v>306</v>
      </c>
      <c r="Q9" s="12"/>
      <c r="R9" s="12"/>
      <c r="S9" s="12"/>
      <c r="T9" s="12"/>
      <c r="U9" s="12"/>
    </row>
    <row r="10" spans="1:21" x14ac:dyDescent="0.2">
      <c r="A10" s="13" t="s">
        <v>307</v>
      </c>
      <c r="B10" s="13" t="s">
        <v>308</v>
      </c>
      <c r="C10" s="14" t="s">
        <v>13</v>
      </c>
      <c r="D10" s="13" t="s">
        <v>309</v>
      </c>
      <c r="E10" s="15" t="s">
        <v>310</v>
      </c>
      <c r="F10" s="16" t="s">
        <v>311</v>
      </c>
      <c r="G10" s="15" t="s">
        <v>312</v>
      </c>
      <c r="H10" s="15"/>
      <c r="I10" s="13" t="s">
        <v>313</v>
      </c>
      <c r="J10" s="13" t="s">
        <v>314</v>
      </c>
      <c r="K10" s="13" t="s">
        <v>315</v>
      </c>
      <c r="L10" s="13" t="s">
        <v>316</v>
      </c>
      <c r="M10" s="13" t="s">
        <v>317</v>
      </c>
      <c r="N10" s="13" t="s">
        <v>318</v>
      </c>
      <c r="O10" s="17"/>
      <c r="P10" s="18" t="s">
        <v>313</v>
      </c>
      <c r="Q10" s="18" t="s">
        <v>314</v>
      </c>
      <c r="R10" s="18" t="s">
        <v>315</v>
      </c>
      <c r="S10" s="18" t="s">
        <v>316</v>
      </c>
      <c r="T10" s="18" t="s">
        <v>317</v>
      </c>
      <c r="U10" s="18" t="s">
        <v>318</v>
      </c>
    </row>
    <row r="11" spans="1:21" ht="14.25" x14ac:dyDescent="0.2">
      <c r="A11" s="3"/>
      <c r="B11" s="3"/>
      <c r="C11" s="8" t="s">
        <v>319</v>
      </c>
      <c r="D11" s="3" t="s">
        <v>320</v>
      </c>
      <c r="E11" s="4" t="s">
        <v>321</v>
      </c>
      <c r="F11" s="5"/>
      <c r="G11" s="4" t="s">
        <v>322</v>
      </c>
      <c r="H11" s="4"/>
      <c r="I11" s="3" t="s">
        <v>323</v>
      </c>
      <c r="J11" s="3" t="s">
        <v>323</v>
      </c>
      <c r="K11" s="3" t="s">
        <v>323</v>
      </c>
      <c r="L11" s="3" t="s">
        <v>323</v>
      </c>
      <c r="M11" s="3" t="s">
        <v>323</v>
      </c>
      <c r="N11" s="3" t="s">
        <v>323</v>
      </c>
      <c r="O11" s="6"/>
      <c r="P11" s="7" t="s">
        <v>324</v>
      </c>
      <c r="Q11" s="7" t="s">
        <v>324</v>
      </c>
      <c r="R11" s="7" t="s">
        <v>324</v>
      </c>
      <c r="S11" s="7" t="s">
        <v>324</v>
      </c>
      <c r="T11" s="7" t="s">
        <v>324</v>
      </c>
      <c r="U11" s="7" t="s">
        <v>324</v>
      </c>
    </row>
    <row r="12" spans="1:21" x14ac:dyDescent="0.2">
      <c r="A12" s="3"/>
      <c r="B12" s="3"/>
      <c r="C12" s="3"/>
      <c r="D12" s="3"/>
      <c r="E12" s="4"/>
      <c r="F12" s="5"/>
      <c r="G12" s="4"/>
      <c r="H12" s="4"/>
      <c r="I12" s="3"/>
      <c r="J12" s="3"/>
      <c r="K12" s="3"/>
      <c r="L12" s="3"/>
      <c r="M12" s="3"/>
      <c r="N12" s="3"/>
      <c r="O12" s="6"/>
      <c r="P12" s="7"/>
      <c r="Q12" s="7"/>
      <c r="R12" s="7"/>
      <c r="S12" s="7"/>
      <c r="T12" s="7"/>
      <c r="U12" s="7"/>
    </row>
    <row r="13" spans="1:21" x14ac:dyDescent="0.2">
      <c r="A13" s="19">
        <v>1</v>
      </c>
      <c r="B13" s="19">
        <v>1</v>
      </c>
      <c r="C13" s="189"/>
      <c r="D13" s="189"/>
      <c r="E13" s="190"/>
      <c r="F13" s="20" t="e">
        <f>(D13^2)/C13</f>
        <v>#DIV/0!</v>
      </c>
      <c r="G13" s="21" t="e">
        <f>(E13/D13)</f>
        <v>#DIV/0!</v>
      </c>
      <c r="H13" s="21"/>
      <c r="I13" s="22" t="e">
        <f>(252*(C13)^0.721)*F13^-0.326</f>
        <v>#DIV/0!</v>
      </c>
      <c r="J13" s="22">
        <f>(525*C13^0.648)</f>
        <v>0</v>
      </c>
      <c r="K13" s="22">
        <f>(732*C13^0.667)</f>
        <v>0</v>
      </c>
      <c r="L13" s="22">
        <f>(1034*C13^0.686)</f>
        <v>0</v>
      </c>
      <c r="M13" s="22" t="e">
        <f>(408*C13^0.768*G13^0.281)</f>
        <v>#DIV/0!</v>
      </c>
      <c r="N13" s="22" t="e">
        <f>(416*C13^0.788*G13^0.325)</f>
        <v>#DIV/0!</v>
      </c>
      <c r="O13" s="23"/>
      <c r="P13" s="21" t="e">
        <f t="shared" ref="P13:U13" si="0">(I13/($C13*640))</f>
        <v>#DIV/0!</v>
      </c>
      <c r="Q13" s="21" t="e">
        <f t="shared" si="0"/>
        <v>#DIV/0!</v>
      </c>
      <c r="R13" s="21" t="e">
        <f t="shared" si="0"/>
        <v>#DIV/0!</v>
      </c>
      <c r="S13" s="21" t="e">
        <f t="shared" si="0"/>
        <v>#DIV/0!</v>
      </c>
      <c r="T13" s="21" t="e">
        <f t="shared" si="0"/>
        <v>#DIV/0!</v>
      </c>
      <c r="U13" s="21" t="e">
        <f t="shared" si="0"/>
        <v>#DIV/0!</v>
      </c>
    </row>
    <row r="14" spans="1:21" x14ac:dyDescent="0.2">
      <c r="A14" s="25" t="s">
        <v>325</v>
      </c>
      <c r="B14" s="3"/>
      <c r="C14" s="3"/>
      <c r="D14" s="3"/>
      <c r="E14" s="4"/>
      <c r="F14" s="5"/>
      <c r="G14" s="4"/>
      <c r="H14" s="4"/>
      <c r="I14" s="3"/>
      <c r="J14" s="3"/>
      <c r="K14" s="3"/>
      <c r="L14" s="3"/>
      <c r="M14" s="3"/>
      <c r="N14" s="3"/>
      <c r="O14" s="6"/>
      <c r="P14" s="7"/>
      <c r="Q14" s="7"/>
      <c r="R14" s="7"/>
      <c r="S14" s="7"/>
      <c r="T14" s="7"/>
      <c r="U14" s="7"/>
    </row>
    <row r="15" spans="1:21" x14ac:dyDescent="0.2">
      <c r="A15" s="6"/>
      <c r="B15" s="25" t="s">
        <v>326</v>
      </c>
      <c r="C15" s="3"/>
      <c r="D15" s="3"/>
      <c r="E15" s="4"/>
      <c r="F15" s="5"/>
      <c r="G15" s="4"/>
      <c r="H15" s="4"/>
      <c r="I15" s="3"/>
      <c r="J15" s="3"/>
      <c r="K15" s="3"/>
      <c r="L15" s="3"/>
      <c r="M15" s="3"/>
      <c r="N15" s="3"/>
      <c r="O15" s="6"/>
      <c r="P15" s="7"/>
      <c r="Q15" s="7"/>
      <c r="R15" s="7"/>
      <c r="S15" s="7"/>
      <c r="T15" s="7"/>
      <c r="U15" s="7"/>
    </row>
    <row r="16" spans="1:21" ht="14.25" x14ac:dyDescent="0.2">
      <c r="A16" s="3"/>
      <c r="B16" s="25" t="s">
        <v>327</v>
      </c>
      <c r="C16" s="3"/>
      <c r="D16" s="3"/>
      <c r="E16" s="4"/>
      <c r="F16" s="5"/>
      <c r="G16" s="4"/>
      <c r="H16" s="4"/>
      <c r="I16" s="3"/>
      <c r="J16" s="3"/>
      <c r="K16" s="3"/>
      <c r="L16" s="3"/>
      <c r="M16" s="3"/>
      <c r="N16" s="3"/>
      <c r="O16" s="6"/>
      <c r="P16" s="7"/>
      <c r="Q16" s="7"/>
      <c r="R16" s="7"/>
      <c r="S16" s="7"/>
      <c r="T16" s="7"/>
      <c r="U16" s="7"/>
    </row>
    <row r="17" spans="1:21" ht="14.25" x14ac:dyDescent="0.2">
      <c r="A17" s="3"/>
      <c r="B17" s="25" t="s">
        <v>328</v>
      </c>
      <c r="C17" s="3"/>
      <c r="D17" s="3"/>
      <c r="E17" s="4"/>
      <c r="F17" s="5"/>
      <c r="G17" s="4"/>
      <c r="H17" s="4"/>
      <c r="I17" s="3"/>
      <c r="J17" s="3"/>
      <c r="K17" s="3"/>
      <c r="L17" s="3"/>
      <c r="M17" s="3"/>
      <c r="N17" s="3"/>
      <c r="O17" s="6"/>
      <c r="P17" s="7"/>
      <c r="Q17" s="7"/>
      <c r="R17" s="7"/>
      <c r="S17" s="7"/>
      <c r="T17" s="7"/>
      <c r="U17" s="7"/>
    </row>
    <row r="18" spans="1:21" x14ac:dyDescent="0.2">
      <c r="A18" s="3"/>
      <c r="B18" s="25"/>
      <c r="C18" s="3"/>
      <c r="D18" s="3"/>
      <c r="E18" s="4"/>
      <c r="F18" s="5"/>
      <c r="G18" s="4"/>
      <c r="H18" s="4"/>
      <c r="I18" s="3"/>
      <c r="J18" s="3"/>
      <c r="K18" s="3"/>
      <c r="L18" s="3"/>
      <c r="M18" s="3"/>
      <c r="N18" s="3"/>
      <c r="O18" s="6"/>
      <c r="P18" s="7"/>
      <c r="Q18" s="7"/>
      <c r="R18" s="7"/>
      <c r="S18" s="7"/>
      <c r="T18" s="7"/>
      <c r="U18" s="7"/>
    </row>
    <row r="19" spans="1:21" x14ac:dyDescent="0.2">
      <c r="A19" s="3"/>
      <c r="B19" s="3"/>
      <c r="C19" s="3"/>
      <c r="D19" s="3"/>
      <c r="E19" s="4"/>
      <c r="F19" s="5"/>
      <c r="G19" s="4"/>
      <c r="H19" s="4"/>
      <c r="I19" s="3"/>
      <c r="J19" s="3"/>
      <c r="K19" s="3"/>
      <c r="L19" s="3"/>
      <c r="M19" s="3"/>
      <c r="N19" s="3"/>
      <c r="O19" s="6"/>
      <c r="P19" s="7"/>
      <c r="Q19" s="7"/>
      <c r="R19" s="7"/>
      <c r="S19" s="7"/>
      <c r="T19" s="7"/>
      <c r="U19" s="7"/>
    </row>
    <row r="20" spans="1:21" x14ac:dyDescent="0.2">
      <c r="A20" s="19">
        <v>1</v>
      </c>
      <c r="B20" s="19">
        <v>1</v>
      </c>
      <c r="C20" s="189"/>
      <c r="D20" s="189"/>
      <c r="E20" s="190"/>
      <c r="F20" s="20" t="e">
        <f>(D20^2)/C20</f>
        <v>#DIV/0!</v>
      </c>
      <c r="G20" s="21" t="e">
        <f>(E20/D20)</f>
        <v>#DIV/0!</v>
      </c>
      <c r="H20" s="21"/>
      <c r="I20" s="22">
        <f>159*(C20^0.68)</f>
        <v>0</v>
      </c>
      <c r="J20" s="22">
        <f>396*C20^0.773</f>
        <v>0</v>
      </c>
      <c r="K20" s="22">
        <f>624*C20^0.82</f>
        <v>0</v>
      </c>
      <c r="L20" s="22">
        <f>997*(C20^0.866)</f>
        <v>0</v>
      </c>
      <c r="M20" s="22" t="e">
        <f>278*(C20^0.973)*(G20^0.36)</f>
        <v>#DIV/0!</v>
      </c>
      <c r="N20" s="22" t="e">
        <f>295*(C20^1.01)*(G20^0.405)</f>
        <v>#DIV/0!</v>
      </c>
      <c r="O20" s="23"/>
      <c r="P20" s="21" t="e">
        <f t="shared" ref="P20:U20" si="1">(I20/($C20*640))</f>
        <v>#DIV/0!</v>
      </c>
      <c r="Q20" s="21" t="e">
        <f t="shared" si="1"/>
        <v>#DIV/0!</v>
      </c>
      <c r="R20" s="21" t="e">
        <f t="shared" si="1"/>
        <v>#DIV/0!</v>
      </c>
      <c r="S20" s="21" t="e">
        <f t="shared" si="1"/>
        <v>#DIV/0!</v>
      </c>
      <c r="T20" s="21" t="e">
        <f t="shared" si="1"/>
        <v>#DIV/0!</v>
      </c>
      <c r="U20" s="21" t="e">
        <f t="shared" si="1"/>
        <v>#DIV/0!</v>
      </c>
    </row>
    <row r="21" spans="1:21" x14ac:dyDescent="0.2">
      <c r="A21" s="6" t="s">
        <v>329</v>
      </c>
      <c r="B21" s="3"/>
      <c r="C21" s="3"/>
      <c r="D21" s="3"/>
      <c r="E21" s="4"/>
      <c r="F21" s="5"/>
      <c r="G21" s="4"/>
      <c r="H21" s="4"/>
      <c r="I21" s="3"/>
      <c r="J21" s="3"/>
      <c r="K21" s="3"/>
      <c r="L21" s="3"/>
      <c r="M21" s="3"/>
      <c r="N21" s="3"/>
      <c r="O21" s="6"/>
      <c r="P21" s="7"/>
      <c r="Q21" s="7"/>
      <c r="R21" s="7"/>
      <c r="S21" s="7"/>
      <c r="T21" s="7"/>
      <c r="U21" s="7"/>
    </row>
    <row r="22" spans="1:21" x14ac:dyDescent="0.2">
      <c r="A22" s="6" t="s">
        <v>330</v>
      </c>
      <c r="B22" s="3"/>
      <c r="C22" s="3"/>
      <c r="D22" s="3"/>
      <c r="E22" s="4"/>
      <c r="F22" s="5"/>
      <c r="G22" s="4"/>
      <c r="H22" s="4"/>
      <c r="I22" s="3"/>
      <c r="J22" s="3"/>
      <c r="K22" s="3"/>
      <c r="L22" s="3"/>
      <c r="M22" s="3"/>
      <c r="N22" s="3"/>
      <c r="O22" s="6"/>
      <c r="P22" s="7"/>
      <c r="Q22" s="7"/>
      <c r="R22" s="7"/>
      <c r="S22" s="7"/>
      <c r="T22" s="7"/>
      <c r="U22" s="7"/>
    </row>
    <row r="23" spans="1:21" x14ac:dyDescent="0.2">
      <c r="A23" s="6" t="s">
        <v>331</v>
      </c>
      <c r="B23" s="3"/>
      <c r="C23" s="3"/>
      <c r="D23" s="3"/>
      <c r="E23" s="4"/>
      <c r="F23" s="5"/>
      <c r="G23" s="4"/>
      <c r="H23" s="4"/>
      <c r="I23" s="3"/>
      <c r="J23" s="3"/>
      <c r="K23" s="3"/>
      <c r="L23" s="3"/>
      <c r="M23" s="3"/>
      <c r="N23" s="3"/>
      <c r="O23" s="6"/>
      <c r="P23" s="7"/>
      <c r="Q23" s="7"/>
      <c r="R23" s="7"/>
      <c r="S23" s="7"/>
      <c r="T23" s="7"/>
      <c r="U23" s="7"/>
    </row>
    <row r="25" spans="1:21" x14ac:dyDescent="0.2">
      <c r="A25" s="1" t="s">
        <v>332</v>
      </c>
    </row>
    <row r="27" spans="1:21" x14ac:dyDescent="0.2">
      <c r="A27" s="1" t="s">
        <v>333</v>
      </c>
      <c r="B27" s="1" t="s">
        <v>334</v>
      </c>
    </row>
    <row r="29" spans="1:21" x14ac:dyDescent="0.2">
      <c r="A29" t="s">
        <v>335</v>
      </c>
      <c r="B29" s="2" t="e">
        <f>(I13+I20)/2</f>
        <v>#DIV/0!</v>
      </c>
    </row>
    <row r="30" spans="1:21" x14ac:dyDescent="0.2">
      <c r="A30" t="s">
        <v>336</v>
      </c>
      <c r="B30" s="2">
        <f>(J13+J20)/2</f>
        <v>0</v>
      </c>
    </row>
    <row r="31" spans="1:21" x14ac:dyDescent="0.2">
      <c r="A31" t="s">
        <v>337</v>
      </c>
      <c r="B31" s="2">
        <f>(K13+K20)/2</f>
        <v>0</v>
      </c>
    </row>
    <row r="32" spans="1:21" x14ac:dyDescent="0.2">
      <c r="A32" t="s">
        <v>338</v>
      </c>
      <c r="B32" s="26">
        <f>(L13+L20)/2</f>
        <v>0</v>
      </c>
    </row>
    <row r="33" spans="1:16" x14ac:dyDescent="0.2">
      <c r="A33" t="s">
        <v>339</v>
      </c>
      <c r="B33" s="26" t="e">
        <f>(N13+N20)/2</f>
        <v>#DIV/0!</v>
      </c>
    </row>
    <row r="35" spans="1:16" s="1" customFormat="1" x14ac:dyDescent="0.2">
      <c r="A35" s="62" t="s">
        <v>340</v>
      </c>
      <c r="B35" s="62"/>
      <c r="C35" s="62"/>
      <c r="D35" s="62"/>
      <c r="E35" s="62"/>
      <c r="F35" s="62"/>
      <c r="G35" s="62"/>
    </row>
    <row r="36" spans="1:16" s="1" customFormat="1" x14ac:dyDescent="0.2">
      <c r="A36" s="62" t="s">
        <v>341</v>
      </c>
      <c r="B36" s="62"/>
      <c r="C36" s="62"/>
      <c r="D36" s="62"/>
      <c r="E36" s="62"/>
      <c r="F36" s="62"/>
      <c r="G36" s="62"/>
    </row>
    <row r="38" spans="1:16" x14ac:dyDescent="0.2">
      <c r="A38" s="3" t="s">
        <v>301</v>
      </c>
      <c r="B38" s="3"/>
      <c r="C38" s="3" t="s">
        <v>302</v>
      </c>
      <c r="D38" s="3"/>
      <c r="E38" s="4"/>
      <c r="F38" s="5"/>
      <c r="G38" s="4"/>
      <c r="H38" s="4"/>
      <c r="I38" s="3"/>
      <c r="J38" s="3"/>
      <c r="K38" s="3"/>
      <c r="L38" s="3"/>
      <c r="M38" s="3"/>
      <c r="N38" s="3"/>
    </row>
    <row r="39" spans="1:16" x14ac:dyDescent="0.2">
      <c r="A39" s="3" t="s">
        <v>13</v>
      </c>
      <c r="B39" s="3" t="s">
        <v>61</v>
      </c>
      <c r="C39" s="8" t="s">
        <v>301</v>
      </c>
      <c r="D39" s="3" t="s">
        <v>75</v>
      </c>
      <c r="E39" s="4"/>
      <c r="F39" s="16" t="s">
        <v>305</v>
      </c>
      <c r="G39" s="15"/>
      <c r="H39" s="15"/>
      <c r="L39" s="11" t="s">
        <v>306</v>
      </c>
      <c r="M39" s="12"/>
      <c r="N39" s="12"/>
      <c r="O39" s="12"/>
      <c r="P39" s="12"/>
    </row>
    <row r="40" spans="1:16" x14ac:dyDescent="0.2">
      <c r="A40" s="13" t="s">
        <v>307</v>
      </c>
      <c r="B40" s="13" t="s">
        <v>308</v>
      </c>
      <c r="C40" s="14" t="s">
        <v>13</v>
      </c>
      <c r="D40" s="13" t="s">
        <v>342</v>
      </c>
      <c r="E40" s="15"/>
      <c r="F40" s="13" t="s">
        <v>313</v>
      </c>
      <c r="G40" s="13" t="s">
        <v>314</v>
      </c>
      <c r="H40" s="13" t="s">
        <v>315</v>
      </c>
      <c r="I40" s="13" t="s">
        <v>316</v>
      </c>
      <c r="J40" s="13" t="s">
        <v>318</v>
      </c>
      <c r="K40" s="13"/>
      <c r="L40" s="18" t="s">
        <v>313</v>
      </c>
      <c r="M40" s="18" t="s">
        <v>314</v>
      </c>
      <c r="N40" s="18" t="s">
        <v>315</v>
      </c>
      <c r="O40" s="18" t="s">
        <v>316</v>
      </c>
      <c r="P40" s="18" t="s">
        <v>318</v>
      </c>
    </row>
    <row r="41" spans="1:16" ht="14.25" x14ac:dyDescent="0.2">
      <c r="A41" s="3"/>
      <c r="B41" s="3"/>
      <c r="C41" s="8" t="s">
        <v>319</v>
      </c>
      <c r="D41" s="3" t="s">
        <v>343</v>
      </c>
      <c r="E41" s="4"/>
      <c r="F41" s="5"/>
      <c r="G41" s="4"/>
      <c r="H41" s="4"/>
      <c r="I41" s="3" t="s">
        <v>323</v>
      </c>
      <c r="J41" s="3" t="s">
        <v>323</v>
      </c>
      <c r="K41" s="3"/>
      <c r="L41" s="7" t="s">
        <v>324</v>
      </c>
      <c r="M41" s="7" t="s">
        <v>324</v>
      </c>
      <c r="N41" s="7" t="s">
        <v>324</v>
      </c>
      <c r="O41" s="7" t="s">
        <v>324</v>
      </c>
      <c r="P41" s="7" t="s">
        <v>324</v>
      </c>
    </row>
    <row r="42" spans="1:16" x14ac:dyDescent="0.2">
      <c r="A42" s="3"/>
      <c r="B42" s="3"/>
      <c r="C42" s="3"/>
      <c r="D42" s="3"/>
      <c r="E42" s="4"/>
      <c r="F42" s="5"/>
      <c r="G42" s="4"/>
      <c r="H42" s="4"/>
      <c r="I42" s="3"/>
      <c r="J42" s="3"/>
      <c r="K42" s="3"/>
      <c r="L42" s="7"/>
      <c r="M42" s="7"/>
      <c r="N42" s="7"/>
      <c r="O42" s="7"/>
      <c r="P42" s="7"/>
    </row>
    <row r="43" spans="1:16" x14ac:dyDescent="0.2">
      <c r="A43" s="19">
        <v>1</v>
      </c>
      <c r="B43" s="19">
        <v>1</v>
      </c>
      <c r="C43" s="189"/>
      <c r="D43" s="189"/>
      <c r="F43" s="24">
        <f>332*(C43^0.607)*(1+D43/100)^1.854</f>
        <v>0</v>
      </c>
      <c r="G43" s="24">
        <f>581*(C43^0.649)*(1+E43/100)^1.607</f>
        <v>0</v>
      </c>
      <c r="H43" s="24">
        <f>780*(C43^0.663)*(1+D43/100)^1.526</f>
        <v>0</v>
      </c>
      <c r="I43" s="24">
        <f>1064*(C43^0.674)*(1+D43/100)^1.476</f>
        <v>0</v>
      </c>
      <c r="J43" s="24">
        <f>1554*(C43^0.678)*(1+D43/100)^1.474</f>
        <v>0</v>
      </c>
      <c r="K43" s="24"/>
      <c r="L43" s="21" t="e">
        <f>(F43/($C43*640))</f>
        <v>#DIV/0!</v>
      </c>
      <c r="M43" s="21" t="e">
        <f>(G43/($C43*640))</f>
        <v>#DIV/0!</v>
      </c>
      <c r="N43" s="21" t="e">
        <f>(H43/($C43*640))</f>
        <v>#DIV/0!</v>
      </c>
      <c r="O43" s="21" t="e">
        <f>(I43/($C43*640))</f>
        <v>#DIV/0!</v>
      </c>
      <c r="P43" s="21" t="e">
        <f>(J43/($C43*640))</f>
        <v>#DIV/0!</v>
      </c>
    </row>
    <row r="45" spans="1:16" x14ac:dyDescent="0.2">
      <c r="A45" t="s">
        <v>344</v>
      </c>
    </row>
    <row r="46" spans="1:16" x14ac:dyDescent="0.2">
      <c r="A46" t="s">
        <v>345</v>
      </c>
    </row>
    <row r="47" spans="1:16" x14ac:dyDescent="0.2">
      <c r="A47" t="s">
        <v>346</v>
      </c>
    </row>
  </sheetData>
  <phoneticPr fontId="3" type="noConversion"/>
  <pageMargins left="0.75" right="0.75" top="1" bottom="1" header="0.5" footer="0.5"/>
  <pageSetup scale="63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2E9F192800DE4A81F6D3D6265BD44E" ma:contentTypeVersion="1" ma:contentTypeDescription="Create a new document." ma:contentTypeScope="" ma:versionID="33cbe9952c35e0ab85d79af0ad59a6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43218-614C-4973-893D-0F60DEDAED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5C2E58-200F-4F50-89BD-144042C64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IC &amp; Runoff</vt:lpstr>
      <vt:lpstr>WQ Design</vt:lpstr>
      <vt:lpstr>Comm Alt Stnds</vt:lpstr>
      <vt:lpstr>"C" Value, "n" and Permeability</vt:lpstr>
      <vt:lpstr>USGS Eqn (Hydrology)</vt:lpstr>
      <vt:lpstr>'WQ Design'!Print_Area</vt:lpstr>
    </vt:vector>
  </TitlesOfParts>
  <Manager/>
  <Company>Lower Colorado River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 James</dc:creator>
  <cp:keywords/>
  <dc:description/>
  <cp:lastModifiedBy>Tom Hegemier</cp:lastModifiedBy>
  <cp:revision/>
  <dcterms:created xsi:type="dcterms:W3CDTF">2005-08-08T20:51:44Z</dcterms:created>
  <dcterms:modified xsi:type="dcterms:W3CDTF">2023-06-13T13:51:47Z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